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ntis.Svirskis\Documents\Virsmma\PDF 18\Mani dokumenti jaunie\Skvēri Tāmes 1 kārta\"/>
    </mc:Choice>
  </mc:AlternateContent>
  <bookViews>
    <workbookView xWindow="0" yWindow="0" windowWidth="19200" windowHeight="11595" tabRatio="875" activeTab="5"/>
  </bookViews>
  <sheets>
    <sheet name="BKT_1" sheetId="1" r:id="rId1"/>
    <sheet name="KA_1" sheetId="3" r:id="rId2"/>
    <sheet name="1-1_1" sheetId="4" r:id="rId3"/>
    <sheet name="1-2_1" sheetId="6" r:id="rId4"/>
    <sheet name="1-3_1" sheetId="7" r:id="rId5"/>
    <sheet name="1-4_1" sheetId="9" r:id="rId6"/>
  </sheets>
  <externalReferences>
    <externalReference r:id="rId7"/>
    <externalReference r:id="rId8"/>
  </externalReferences>
  <definedNames>
    <definedName name="_Regression_Int">1</definedName>
    <definedName name="_Regression_Int_1">1</definedName>
    <definedName name="_Regression_Int_2">1</definedName>
    <definedName name="_Regression_Int_3">1</definedName>
    <definedName name="_Regression_Int_4">1</definedName>
    <definedName name="_Regression_Int_5">1</definedName>
    <definedName name="_sum5">#REF!</definedName>
    <definedName name="A">'[1]2'!$A$1</definedName>
    <definedName name="AKZ_Angebot">#REF!</definedName>
    <definedName name="AKZ_Auftrag">#REF!</definedName>
    <definedName name="Ang._Datum">#REF!</definedName>
    <definedName name="area5">#REF!</definedName>
    <definedName name="area6">#REF!</definedName>
    <definedName name="area8">'[2]G-1X(2520+mastertop)'!$B$9</definedName>
    <definedName name="Auftr._Datum">#REF!</definedName>
    <definedName name="Bearbeiter">#REF!</definedName>
    <definedName name="Cent_Stacija">#REF!</definedName>
    <definedName name="_xlnm.Print_Area" localSheetId="2">'1-1_1'!$A$1:$P$34</definedName>
    <definedName name="_xlnm.Print_Area" localSheetId="3">'1-2_1'!$A$1:$P$31</definedName>
    <definedName name="_xlnm.Print_Area" localSheetId="4">'1-3_1'!$A$1:$P$28</definedName>
    <definedName name="_xlnm.Print_Area" localSheetId="5">'1-4_1'!$A$1:$P$67</definedName>
    <definedName name="_xlnm.Print_Area" localSheetId="0">BKT_1!$A$1:$C$23</definedName>
    <definedName name="_xlnm.Print_Area" localSheetId="1">KA_1!$A$1:$H$32</definedName>
    <definedName name="_xlnm.Print_Titles" localSheetId="2">'1-1_1'!$10:$11</definedName>
    <definedName name="_xlnm.Print_Titles" localSheetId="3">'1-2_1'!$10:$11</definedName>
    <definedName name="_xlnm.Print_Titles" localSheetId="4">'1-3_1'!$10:$11</definedName>
    <definedName name="_xlnm.Print_Titles" localSheetId="5">'1-4_1'!$10:$11</definedName>
    <definedName name="Excel_BuiltIn_Print_Area_1">#REF!</definedName>
    <definedName name="Excel_BuiltIn_Print_Area_6">NA()</definedName>
    <definedName name="Excel_BuiltIn_Print_Titles_1">#REF!</definedName>
    <definedName name="Excel_BuiltIn_Print_Titles_2_1">(#REF!,#REF!)</definedName>
    <definedName name="Faktorgruppe1">#REF!</definedName>
    <definedName name="Faktorgruppe2">#REF!</definedName>
    <definedName name="Faktorgruppe3">#REF!</definedName>
    <definedName name="Faktorgruppe4">#REF!</definedName>
    <definedName name="Faktorgruppe5">#REF!</definedName>
    <definedName name="Faktorgruppe6">#REF!</definedName>
    <definedName name="Faktorgruppe7">#REF!</definedName>
    <definedName name="Faktorgruppe8">#REF!</definedName>
    <definedName name="Faktorgruppe9">#REF!</definedName>
    <definedName name="Faktorwerte">#REF!</definedName>
    <definedName name="Faktorwerte_der_Faktorgruppen">#REF!</definedName>
    <definedName name="Gruppenname1">#REF!</definedName>
    <definedName name="Gruppenname2">#REF!</definedName>
    <definedName name="Gruppenname3">#REF!</definedName>
    <definedName name="Gruppenname4">#REF!</definedName>
    <definedName name="Gruppenname5">#REF!</definedName>
    <definedName name="Gruppenname6">#REF!</definedName>
    <definedName name="Gruppenname7">#REF!</definedName>
    <definedName name="Gruppenname8">#REF!</definedName>
    <definedName name="Gruppenname9">#REF!</definedName>
    <definedName name="hours5">#REF!</definedName>
    <definedName name="koptameties">#REF!</definedName>
    <definedName name="lapa">#REF!</definedName>
    <definedName name="Margin">#REF!</definedName>
    <definedName name="P">#REF!</definedName>
    <definedName name="Print_Area_MI">'1-1_1'!#REF!</definedName>
    <definedName name="Print_Area_MI_1">#REF!</definedName>
    <definedName name="Print_Area_MI_2">'1-2_1'!#REF!</definedName>
    <definedName name="Print_Area_MI_3">'1-3_1'!#REF!</definedName>
    <definedName name="Print_Area_MI_4">#REF!</definedName>
    <definedName name="Print_Area_MI_5">'1-4_1'!#REF!</definedName>
    <definedName name="PRINT_AREA_MI_6">NA()</definedName>
    <definedName name="Print_Titles_MI">'1-1_1'!#REF!</definedName>
    <definedName name="Print_Titles_MI_1">#REF!</definedName>
    <definedName name="Print_Titles_MI_2">'1-2_1'!#REF!</definedName>
    <definedName name="Print_Titles_MI_3">'1-3_1'!#REF!</definedName>
    <definedName name="Print_Titles_MI_4">#REF!</definedName>
    <definedName name="Print_Titles_MI_5">'1-4_1'!#REF!</definedName>
    <definedName name="Projektname">#REF!</definedName>
    <definedName name="Titul">#REF!</definedName>
    <definedName name="Währungsfaktor">#REF!</definedName>
  </definedNames>
  <calcPr calcId="152511"/>
</workbook>
</file>

<file path=xl/calcChain.xml><?xml version="1.0" encoding="utf-8"?>
<calcChain xmlns="http://schemas.openxmlformats.org/spreadsheetml/2006/main">
  <c r="E29" i="9" l="1"/>
  <c r="E30" i="9"/>
  <c r="E22" i="9"/>
  <c r="E23" i="9"/>
  <c r="A10" i="1" l="1"/>
  <c r="A6" i="4"/>
  <c r="A5" i="9"/>
  <c r="A5" i="7"/>
  <c r="A5" i="6"/>
  <c r="A5" i="4"/>
  <c r="A9" i="1"/>
  <c r="B13" i="1" s="1"/>
  <c r="A464" i="4" l="1"/>
  <c r="D464" i="4"/>
  <c r="E464" i="4"/>
  <c r="A465" i="4"/>
  <c r="D465" i="4"/>
  <c r="E465" i="4"/>
  <c r="A466" i="4"/>
  <c r="D466" i="4"/>
  <c r="E466" i="4"/>
  <c r="A467" i="4"/>
  <c r="D467" i="4"/>
  <c r="E467" i="4"/>
  <c r="A468" i="4"/>
  <c r="D468" i="4"/>
  <c r="E468" i="4"/>
  <c r="A469" i="4"/>
  <c r="D469" i="4"/>
  <c r="E469" i="4"/>
  <c r="A470" i="4"/>
  <c r="D470" i="4"/>
  <c r="E470" i="4"/>
  <c r="A471" i="4"/>
  <c r="D471" i="4"/>
  <c r="E471" i="4"/>
  <c r="A472" i="4"/>
  <c r="D472" i="4"/>
  <c r="E472" i="4"/>
  <c r="A473" i="4"/>
  <c r="D473" i="4"/>
  <c r="E473" i="4"/>
  <c r="A474" i="4"/>
  <c r="D474" i="4"/>
  <c r="E474" i="4"/>
  <c r="A475" i="4"/>
  <c r="D475" i="4"/>
  <c r="E475" i="4"/>
  <c r="A476" i="4"/>
  <c r="D476" i="4"/>
  <c r="E476" i="4"/>
  <c r="A477" i="4"/>
  <c r="D477" i="4"/>
  <c r="E477" i="4"/>
  <c r="A478" i="4"/>
  <c r="D478" i="4"/>
  <c r="E478" i="4"/>
  <c r="A479" i="4"/>
  <c r="D479" i="4"/>
  <c r="E479" i="4"/>
  <c r="A480" i="4"/>
  <c r="D480" i="4"/>
  <c r="E480" i="4"/>
  <c r="A481" i="4"/>
  <c r="D481" i="4"/>
  <c r="E481" i="4"/>
  <c r="A482" i="4"/>
  <c r="D482" i="4"/>
  <c r="E482" i="4"/>
  <c r="A483" i="4"/>
  <c r="D483" i="4"/>
  <c r="E483" i="4"/>
  <c r="H485" i="4"/>
  <c r="A489" i="4"/>
  <c r="D489" i="4"/>
  <c r="E489" i="4"/>
  <c r="A490" i="4"/>
  <c r="D490" i="4"/>
  <c r="E490" i="4"/>
  <c r="A491" i="4"/>
  <c r="D491" i="4"/>
  <c r="E491" i="4"/>
  <c r="A492" i="4"/>
  <c r="D492" i="4"/>
  <c r="E492" i="4"/>
  <c r="A493" i="4"/>
  <c r="D493" i="4"/>
  <c r="E493" i="4"/>
  <c r="A494" i="4"/>
  <c r="D494" i="4"/>
  <c r="E494" i="4"/>
  <c r="A495" i="4"/>
  <c r="D495" i="4"/>
  <c r="E495" i="4"/>
  <c r="A496" i="4"/>
  <c r="D496" i="4"/>
  <c r="E496" i="4"/>
  <c r="A497" i="4"/>
  <c r="D497" i="4"/>
  <c r="E497" i="4"/>
  <c r="A498" i="4"/>
  <c r="D498" i="4"/>
  <c r="E498" i="4"/>
  <c r="A499" i="4"/>
  <c r="D499" i="4"/>
  <c r="E499" i="4"/>
  <c r="A500" i="4"/>
  <c r="D500" i="4"/>
  <c r="E500" i="4"/>
  <c r="A505" i="4"/>
  <c r="D505" i="4"/>
  <c r="E505" i="4"/>
  <c r="A506" i="4"/>
  <c r="D506" i="4"/>
  <c r="E506" i="4"/>
  <c r="A507" i="4"/>
  <c r="D507" i="4"/>
  <c r="E507" i="4"/>
  <c r="A508" i="4"/>
  <c r="D508" i="4"/>
  <c r="E508" i="4"/>
  <c r="A509" i="4"/>
  <c r="D509" i="4"/>
  <c r="E509" i="4"/>
  <c r="A510" i="4"/>
  <c r="D510" i="4"/>
  <c r="E510" i="4"/>
  <c r="A511" i="4"/>
  <c r="D511" i="4"/>
  <c r="E511" i="4"/>
  <c r="A512" i="4"/>
  <c r="D512" i="4"/>
  <c r="E512" i="4"/>
  <c r="A517" i="4"/>
  <c r="D517" i="4"/>
  <c r="E517" i="4"/>
  <c r="A518" i="4"/>
  <c r="D518" i="4"/>
  <c r="E518" i="4"/>
  <c r="A519" i="4"/>
  <c r="D519" i="4"/>
  <c r="E519" i="4"/>
  <c r="A520" i="4"/>
  <c r="D520" i="4"/>
  <c r="E520" i="4"/>
  <c r="A521" i="4"/>
  <c r="D521" i="4"/>
  <c r="E521" i="4"/>
  <c r="A522" i="4"/>
  <c r="D522" i="4"/>
  <c r="E522" i="4"/>
  <c r="A523" i="4"/>
  <c r="D523" i="4"/>
  <c r="E523" i="4"/>
  <c r="E532" i="4"/>
  <c r="N532" i="4" s="1"/>
  <c r="L532" i="4"/>
  <c r="M532" i="4"/>
  <c r="E533" i="4"/>
  <c r="J533" i="4"/>
  <c r="I533" i="4"/>
  <c r="P533" i="4"/>
  <c r="D537" i="4"/>
  <c r="E537" i="4"/>
  <c r="F537" i="4"/>
  <c r="D538" i="4"/>
  <c r="E538" i="4"/>
  <c r="F538" i="4"/>
  <c r="I538" i="4"/>
  <c r="D539" i="4"/>
  <c r="I539" i="4" s="1"/>
  <c r="E539" i="4"/>
  <c r="F539" i="4"/>
  <c r="D540" i="4"/>
  <c r="E540" i="4"/>
  <c r="I540" i="4" s="1"/>
  <c r="F540" i="4"/>
  <c r="E541" i="4"/>
  <c r="F541" i="4"/>
  <c r="E542" i="4"/>
  <c r="F542" i="4"/>
  <c r="D543" i="4"/>
  <c r="E543" i="4"/>
  <c r="F543" i="4"/>
  <c r="D544" i="4"/>
  <c r="E544" i="4"/>
  <c r="F544" i="4"/>
  <c r="D545" i="4"/>
  <c r="E545" i="4"/>
  <c r="F545" i="4"/>
  <c r="E546" i="4"/>
  <c r="F546" i="4"/>
  <c r="E547" i="4"/>
  <c r="F547" i="4"/>
  <c r="D548" i="4"/>
  <c r="E548" i="4"/>
  <c r="F548" i="4"/>
  <c r="D549" i="4"/>
  <c r="E549" i="4"/>
  <c r="F549" i="4"/>
  <c r="D550" i="4"/>
  <c r="E550" i="4"/>
  <c r="F550" i="4"/>
  <c r="M554" i="4"/>
  <c r="D555" i="4"/>
  <c r="E555" i="4"/>
  <c r="I555" i="4" s="1"/>
  <c r="F555" i="4"/>
  <c r="D556" i="4"/>
  <c r="E556" i="4"/>
  <c r="I556" i="4" s="1"/>
  <c r="F556" i="4"/>
  <c r="D557" i="4"/>
  <c r="E557" i="4"/>
  <c r="F557" i="4"/>
  <c r="D558" i="4"/>
  <c r="E558" i="4"/>
  <c r="F558" i="4"/>
  <c r="D559" i="4"/>
  <c r="E559" i="4"/>
  <c r="I559" i="4" s="1"/>
  <c r="F559" i="4"/>
  <c r="M564" i="4"/>
  <c r="D565" i="4"/>
  <c r="E565" i="4"/>
  <c r="I565" i="4" s="1"/>
  <c r="F565" i="4"/>
  <c r="D566" i="4"/>
  <c r="J566" i="4" s="1"/>
  <c r="E566" i="4"/>
  <c r="F566" i="4"/>
  <c r="D567" i="4"/>
  <c r="E567" i="4"/>
  <c r="F567" i="4"/>
  <c r="D568" i="4"/>
  <c r="E568" i="4"/>
  <c r="I568" i="4" s="1"/>
  <c r="F568" i="4"/>
  <c r="D569" i="4"/>
  <c r="E569" i="4"/>
  <c r="I569" i="4" s="1"/>
  <c r="F569" i="4"/>
  <c r="D570" i="4"/>
  <c r="E570" i="4"/>
  <c r="I570" i="4" s="1"/>
  <c r="F570" i="4"/>
  <c r="D571" i="4"/>
  <c r="J571" i="4" s="1"/>
  <c r="E571" i="4"/>
  <c r="F571" i="4"/>
  <c r="D572" i="4"/>
  <c r="E572" i="4"/>
  <c r="J572" i="4" s="1"/>
  <c r="F572" i="4"/>
  <c r="M574" i="4"/>
  <c r="D575" i="4"/>
  <c r="E575" i="4"/>
  <c r="F575" i="4"/>
  <c r="E576" i="4"/>
  <c r="F576" i="4"/>
  <c r="D577" i="4"/>
  <c r="E577" i="4"/>
  <c r="F577" i="4"/>
  <c r="D578" i="4"/>
  <c r="E578" i="4"/>
  <c r="F578" i="4"/>
  <c r="D579" i="4"/>
  <c r="E579" i="4"/>
  <c r="J579" i="4" s="1"/>
  <c r="F579" i="4"/>
  <c r="D580" i="4"/>
  <c r="E580" i="4"/>
  <c r="F580" i="4"/>
  <c r="D581" i="4"/>
  <c r="E581" i="4"/>
  <c r="F581" i="4"/>
  <c r="D582" i="4"/>
  <c r="E582" i="4"/>
  <c r="J582" i="4" s="1"/>
  <c r="F582" i="4"/>
  <c r="D583" i="4"/>
  <c r="E583" i="4"/>
  <c r="I583" i="4" s="1"/>
  <c r="F583" i="4"/>
  <c r="D584" i="4"/>
  <c r="E584" i="4"/>
  <c r="J584" i="4" s="1"/>
  <c r="F584" i="4"/>
  <c r="D585" i="4"/>
  <c r="E585" i="4"/>
  <c r="J585" i="4" s="1"/>
  <c r="F585" i="4"/>
  <c r="D586" i="4"/>
  <c r="E586" i="4"/>
  <c r="J586" i="4" s="1"/>
  <c r="F586" i="4"/>
  <c r="D587" i="4"/>
  <c r="E587" i="4"/>
  <c r="F587" i="4"/>
  <c r="D588" i="4"/>
  <c r="J588" i="4" s="1"/>
  <c r="E588" i="4"/>
  <c r="I588" i="4" s="1"/>
  <c r="F588" i="4"/>
  <c r="D589" i="4"/>
  <c r="J589" i="4" s="1"/>
  <c r="E589" i="4"/>
  <c r="I589" i="4" s="1"/>
  <c r="F589" i="4"/>
  <c r="D590" i="4"/>
  <c r="J590" i="4" s="1"/>
  <c r="E590" i="4"/>
  <c r="F590" i="4"/>
  <c r="D591" i="4"/>
  <c r="E591" i="4"/>
  <c r="I591" i="4" s="1"/>
  <c r="F591" i="4"/>
  <c r="D592" i="4"/>
  <c r="E592" i="4"/>
  <c r="J592" i="4" s="1"/>
  <c r="F592" i="4"/>
  <c r="M593" i="4"/>
  <c r="M594" i="4"/>
  <c r="D595" i="4"/>
  <c r="J595" i="4" s="1"/>
  <c r="E595" i="4"/>
  <c r="F595" i="4"/>
  <c r="D596" i="4"/>
  <c r="J596" i="4" s="1"/>
  <c r="E596" i="4"/>
  <c r="I596" i="4" s="1"/>
  <c r="F596" i="4"/>
  <c r="D597" i="4"/>
  <c r="E597" i="4"/>
  <c r="F597" i="4"/>
  <c r="D598" i="4"/>
  <c r="E598" i="4"/>
  <c r="J598" i="4" s="1"/>
  <c r="F598" i="4"/>
  <c r="D599" i="4"/>
  <c r="I599" i="4" s="1"/>
  <c r="E599" i="4"/>
  <c r="J599" i="4" s="1"/>
  <c r="F599" i="4"/>
  <c r="M600" i="4"/>
  <c r="M601" i="4"/>
  <c r="M604" i="4"/>
  <c r="D605" i="4"/>
  <c r="E605" i="4"/>
  <c r="F605" i="4"/>
  <c r="D606" i="4"/>
  <c r="E606" i="4"/>
  <c r="F606" i="4"/>
  <c r="D607" i="4"/>
  <c r="E607" i="4"/>
  <c r="I607" i="4" s="1"/>
  <c r="F607" i="4"/>
  <c r="D608" i="4"/>
  <c r="J608" i="4" s="1"/>
  <c r="E608" i="4"/>
  <c r="I608" i="4" s="1"/>
  <c r="F608" i="4"/>
  <c r="D609" i="4"/>
  <c r="E609" i="4"/>
  <c r="I609" i="4" s="1"/>
  <c r="F609" i="4"/>
  <c r="D610" i="4"/>
  <c r="E610" i="4"/>
  <c r="J610" i="4" s="1"/>
  <c r="F610" i="4"/>
  <c r="D611" i="4"/>
  <c r="E611" i="4"/>
  <c r="I611" i="4" s="1"/>
  <c r="F611" i="4"/>
  <c r="D612" i="4"/>
  <c r="E612" i="4"/>
  <c r="I612" i="4" s="1"/>
  <c r="F612" i="4"/>
  <c r="D613" i="4"/>
  <c r="E613" i="4"/>
  <c r="F613" i="4"/>
  <c r="E614" i="4"/>
  <c r="F614" i="4"/>
  <c r="D615" i="4"/>
  <c r="J615" i="4" s="1"/>
  <c r="E615" i="4"/>
  <c r="F615" i="4"/>
  <c r="M624" i="4"/>
  <c r="D625" i="4"/>
  <c r="J625" i="4" s="1"/>
  <c r="E625" i="4"/>
  <c r="F625" i="4"/>
  <c r="D626" i="4"/>
  <c r="I626" i="4" s="1"/>
  <c r="E626" i="4"/>
  <c r="J626" i="4" s="1"/>
  <c r="F626" i="4"/>
  <c r="D627" i="4"/>
  <c r="E627" i="4"/>
  <c r="J627" i="4" s="1"/>
  <c r="F627" i="4"/>
  <c r="D628" i="4"/>
  <c r="E628" i="4"/>
  <c r="F628" i="4"/>
  <c r="D629" i="4"/>
  <c r="J629" i="4" s="1"/>
  <c r="E629" i="4"/>
  <c r="F629" i="4"/>
  <c r="D630" i="4"/>
  <c r="J630" i="4" s="1"/>
  <c r="E630" i="4"/>
  <c r="I630" i="4" s="1"/>
  <c r="F630" i="4"/>
  <c r="D631" i="4"/>
  <c r="E631" i="4"/>
  <c r="F631" i="4"/>
  <c r="D632" i="4"/>
  <c r="E632" i="4"/>
  <c r="F632" i="4"/>
  <c r="D633" i="4"/>
  <c r="E633" i="4"/>
  <c r="F633" i="4"/>
  <c r="D634" i="4"/>
  <c r="E634" i="4"/>
  <c r="F634" i="4"/>
  <c r="D635" i="4"/>
  <c r="E635" i="4"/>
  <c r="F635" i="4"/>
  <c r="D636" i="4"/>
  <c r="E636" i="4"/>
  <c r="F636" i="4"/>
  <c r="M637" i="4"/>
  <c r="M638" i="4"/>
  <c r="M639" i="4"/>
  <c r="M640" i="4"/>
  <c r="M641" i="4"/>
  <c r="M642" i="4"/>
  <c r="M643" i="4"/>
  <c r="M644" i="4"/>
  <c r="A645" i="4"/>
  <c r="A646" i="4" s="1"/>
  <c r="A647" i="4" s="1"/>
  <c r="A648" i="4" s="1"/>
  <c r="A649" i="4" s="1"/>
  <c r="A650" i="4" s="1"/>
  <c r="A651" i="4" s="1"/>
  <c r="A652" i="4" s="1"/>
  <c r="D645" i="4"/>
  <c r="E645" i="4"/>
  <c r="F645" i="4"/>
  <c r="D646" i="4"/>
  <c r="J646" i="4" s="1"/>
  <c r="E646" i="4"/>
  <c r="I646" i="4" s="1"/>
  <c r="F646" i="4"/>
  <c r="D647" i="4"/>
  <c r="E647" i="4"/>
  <c r="J647" i="4" s="1"/>
  <c r="F647" i="4"/>
  <c r="D648" i="4"/>
  <c r="E648" i="4"/>
  <c r="F648" i="4"/>
  <c r="D649" i="4"/>
  <c r="E649" i="4"/>
  <c r="F649" i="4"/>
  <c r="D650" i="4"/>
  <c r="E650" i="4"/>
  <c r="I650" i="4" s="1"/>
  <c r="F650" i="4"/>
  <c r="D651" i="4"/>
  <c r="E651" i="4"/>
  <c r="J651" i="4" s="1"/>
  <c r="F651" i="4"/>
  <c r="D652" i="4"/>
  <c r="E652" i="4"/>
  <c r="J652" i="4" s="1"/>
  <c r="F652" i="4"/>
  <c r="M653" i="4"/>
  <c r="C654" i="4"/>
  <c r="D654" i="4"/>
  <c r="E654" i="4"/>
  <c r="D655" i="4"/>
  <c r="E655" i="4"/>
  <c r="K655" i="4"/>
  <c r="D656" i="4"/>
  <c r="E656" i="4"/>
  <c r="M658" i="4"/>
  <c r="M659" i="4"/>
  <c r="M660" i="4"/>
  <c r="I661" i="4"/>
  <c r="I662" i="4"/>
  <c r="D663" i="4"/>
  <c r="E663" i="4"/>
  <c r="F663" i="4"/>
  <c r="M664" i="4"/>
  <c r="D665" i="4"/>
  <c r="E665" i="4"/>
  <c r="F665" i="4"/>
  <c r="E666" i="4"/>
  <c r="F666" i="4"/>
  <c r="D667" i="4"/>
  <c r="E667" i="4"/>
  <c r="F667" i="4"/>
  <c r="D668" i="4"/>
  <c r="E668" i="4"/>
  <c r="F668" i="4"/>
  <c r="D669" i="4"/>
  <c r="E669" i="4"/>
  <c r="F669" i="4"/>
  <c r="D670" i="4"/>
  <c r="E670" i="4"/>
  <c r="I670" i="4" s="1"/>
  <c r="F670" i="4"/>
  <c r="M672" i="4"/>
  <c r="D673" i="4"/>
  <c r="E673" i="4"/>
  <c r="F673" i="4"/>
  <c r="D674" i="4"/>
  <c r="E674" i="4"/>
  <c r="F674" i="4"/>
  <c r="E675" i="4"/>
  <c r="F675" i="4"/>
  <c r="E676" i="4"/>
  <c r="I676" i="4" s="1"/>
  <c r="F676" i="4"/>
  <c r="E677" i="4"/>
  <c r="F677" i="4"/>
  <c r="E678" i="4"/>
  <c r="F678" i="4"/>
  <c r="D679" i="4"/>
  <c r="E679" i="4"/>
  <c r="J679" i="4" s="1"/>
  <c r="F679" i="4"/>
  <c r="D680" i="4"/>
  <c r="E680" i="4"/>
  <c r="F680" i="4"/>
  <c r="D681" i="4"/>
  <c r="E681" i="4"/>
  <c r="F681" i="4"/>
  <c r="D682" i="4"/>
  <c r="E682" i="4"/>
  <c r="F682" i="4"/>
  <c r="M683" i="4"/>
  <c r="D684" i="4"/>
  <c r="E684" i="4"/>
  <c r="F684" i="4"/>
  <c r="D685" i="4"/>
  <c r="E685" i="4"/>
  <c r="F685" i="4"/>
  <c r="D686" i="4"/>
  <c r="F686" i="4"/>
  <c r="M687" i="4"/>
  <c r="D688" i="4"/>
  <c r="E688" i="4"/>
  <c r="F688" i="4"/>
  <c r="D689" i="4"/>
  <c r="E689" i="4"/>
  <c r="F689" i="4"/>
  <c r="D690" i="4"/>
  <c r="E690" i="4"/>
  <c r="F690" i="4"/>
  <c r="D691" i="4"/>
  <c r="E691" i="4"/>
  <c r="F691" i="4"/>
  <c r="D692" i="4"/>
  <c r="E692" i="4"/>
  <c r="F692" i="4"/>
  <c r="D693" i="4"/>
  <c r="E693" i="4"/>
  <c r="F693" i="4"/>
  <c r="D694" i="4"/>
  <c r="E694" i="4"/>
  <c r="F694" i="4"/>
  <c r="D695" i="4"/>
  <c r="E695" i="4"/>
  <c r="F695" i="4"/>
  <c r="D696" i="4"/>
  <c r="E696" i="4"/>
  <c r="F696" i="4"/>
  <c r="D697" i="4"/>
  <c r="E697" i="4"/>
  <c r="F697" i="4"/>
  <c r="D698" i="4"/>
  <c r="E698" i="4"/>
  <c r="F698" i="4"/>
  <c r="D699" i="4"/>
  <c r="E699" i="4"/>
  <c r="F699" i="4"/>
  <c r="D700" i="4"/>
  <c r="E700" i="4"/>
  <c r="F700" i="4"/>
  <c r="D701" i="4"/>
  <c r="E701" i="4"/>
  <c r="F701" i="4"/>
  <c r="D702" i="4"/>
  <c r="E702" i="4"/>
  <c r="F702" i="4"/>
  <c r="D703" i="4"/>
  <c r="E703" i="4"/>
  <c r="F703" i="4"/>
  <c r="D704" i="4"/>
  <c r="E704" i="4"/>
  <c r="F704" i="4"/>
  <c r="D705" i="4"/>
  <c r="E705" i="4"/>
  <c r="F705" i="4"/>
  <c r="D706" i="4"/>
  <c r="E706" i="4"/>
  <c r="F706" i="4"/>
  <c r="D707" i="4"/>
  <c r="E707" i="4"/>
  <c r="F707" i="4"/>
  <c r="D708" i="4"/>
  <c r="E708" i="4"/>
  <c r="F708" i="4"/>
  <c r="D709" i="4"/>
  <c r="E709" i="4"/>
  <c r="F709" i="4"/>
  <c r="D710" i="4"/>
  <c r="E710" i="4"/>
  <c r="F710" i="4"/>
  <c r="D711" i="4"/>
  <c r="E711" i="4"/>
  <c r="F711" i="4"/>
  <c r="D712" i="4"/>
  <c r="E712" i="4"/>
  <c r="F712" i="4"/>
  <c r="D713" i="4"/>
  <c r="E713" i="4"/>
  <c r="F713" i="4"/>
  <c r="D714" i="4"/>
  <c r="E714" i="4"/>
  <c r="F714" i="4"/>
  <c r="D715" i="4"/>
  <c r="E715" i="4"/>
  <c r="F715" i="4"/>
  <c r="D716" i="4"/>
  <c r="E716" i="4"/>
  <c r="F716" i="4"/>
  <c r="D717" i="4"/>
  <c r="E717" i="4"/>
  <c r="F717" i="4"/>
  <c r="D718" i="4"/>
  <c r="E718" i="4"/>
  <c r="F718" i="4"/>
  <c r="D719" i="4"/>
  <c r="E719" i="4"/>
  <c r="F719" i="4"/>
  <c r="D720" i="4"/>
  <c r="E720" i="4"/>
  <c r="F720" i="4"/>
  <c r="D721" i="4"/>
  <c r="E721" i="4"/>
  <c r="F721" i="4"/>
  <c r="M722" i="4"/>
  <c r="D723" i="4"/>
  <c r="E723" i="4"/>
  <c r="I723" i="4" s="1"/>
  <c r="F723" i="4"/>
  <c r="D724" i="4"/>
  <c r="E724" i="4"/>
  <c r="F724" i="4"/>
  <c r="D725" i="4"/>
  <c r="E725" i="4"/>
  <c r="F725" i="4"/>
  <c r="D726" i="4"/>
  <c r="E726" i="4"/>
  <c r="F726" i="4"/>
  <c r="D727" i="4"/>
  <c r="E727" i="4"/>
  <c r="F727" i="4"/>
  <c r="D728" i="4"/>
  <c r="E728" i="4"/>
  <c r="F728" i="4"/>
  <c r="D729" i="4"/>
  <c r="E729" i="4"/>
  <c r="F729" i="4"/>
  <c r="D730" i="4"/>
  <c r="E730" i="4"/>
  <c r="F730" i="4"/>
  <c r="D731" i="4"/>
  <c r="E731" i="4"/>
  <c r="F731" i="4"/>
  <c r="D732" i="4"/>
  <c r="E732" i="4"/>
  <c r="F732" i="4"/>
  <c r="D733" i="4"/>
  <c r="E733" i="4"/>
  <c r="F733" i="4"/>
  <c r="D734" i="4"/>
  <c r="E734" i="4"/>
  <c r="F734" i="4"/>
  <c r="D735" i="4"/>
  <c r="E735" i="4"/>
  <c r="F735" i="4"/>
  <c r="D736" i="4"/>
  <c r="E736" i="4"/>
  <c r="F736" i="4"/>
  <c r="D737" i="4"/>
  <c r="E737" i="4"/>
  <c r="F737" i="4"/>
  <c r="D738" i="4"/>
  <c r="E738" i="4"/>
  <c r="F738" i="4"/>
  <c r="D739" i="4"/>
  <c r="E739" i="4"/>
  <c r="F739" i="4"/>
  <c r="D740" i="4"/>
  <c r="E740" i="4"/>
  <c r="F740" i="4"/>
  <c r="D741" i="4"/>
  <c r="E741" i="4"/>
  <c r="F741" i="4"/>
  <c r="D742" i="4"/>
  <c r="E742" i="4"/>
  <c r="F742" i="4"/>
  <c r="D743" i="4"/>
  <c r="E743" i="4"/>
  <c r="F743" i="4"/>
  <c r="D744" i="4"/>
  <c r="E744" i="4"/>
  <c r="F744" i="4"/>
  <c r="D745" i="4"/>
  <c r="E745" i="4"/>
  <c r="F745" i="4"/>
  <c r="D746" i="4"/>
  <c r="E746" i="4"/>
  <c r="F746" i="4"/>
  <c r="D747" i="4"/>
  <c r="E747" i="4"/>
  <c r="F747" i="4"/>
  <c r="D748" i="4"/>
  <c r="E748" i="4"/>
  <c r="F748" i="4"/>
  <c r="E749" i="4"/>
  <c r="F749" i="4"/>
  <c r="C750" i="4"/>
  <c r="D750" i="4"/>
  <c r="E750" i="4"/>
  <c r="D751" i="4"/>
  <c r="E751" i="4"/>
  <c r="M751" i="4"/>
  <c r="M752" i="4"/>
  <c r="I754" i="4"/>
  <c r="A755" i="4"/>
  <c r="D755" i="4"/>
  <c r="E755" i="4"/>
  <c r="F755" i="4"/>
  <c r="A756" i="4"/>
  <c r="A757" i="4" s="1"/>
  <c r="A758" i="4" s="1"/>
  <c r="A759" i="4" s="1"/>
  <c r="A760" i="4" s="1"/>
  <c r="D756" i="4"/>
  <c r="E756" i="4"/>
  <c r="F756" i="4"/>
  <c r="D757" i="4"/>
  <c r="E757" i="4"/>
  <c r="F757" i="4"/>
  <c r="D758" i="4"/>
  <c r="E758" i="4"/>
  <c r="F758" i="4"/>
  <c r="D759" i="4"/>
  <c r="E759" i="4"/>
  <c r="F759" i="4"/>
  <c r="D760" i="4"/>
  <c r="E760" i="4"/>
  <c r="F760" i="4"/>
  <c r="C761" i="4"/>
  <c r="D761" i="4"/>
  <c r="E761" i="4"/>
  <c r="L761" i="4"/>
  <c r="D762" i="4"/>
  <c r="E762" i="4"/>
  <c r="A460" i="6"/>
  <c r="D460" i="6"/>
  <c r="E460" i="6"/>
  <c r="A461" i="6"/>
  <c r="D461" i="6"/>
  <c r="E461" i="6"/>
  <c r="A462" i="6"/>
  <c r="D462" i="6"/>
  <c r="E462" i="6"/>
  <c r="A463" i="6"/>
  <c r="D463" i="6"/>
  <c r="E463" i="6"/>
  <c r="A464" i="6"/>
  <c r="D464" i="6"/>
  <c r="E464" i="6"/>
  <c r="A465" i="6"/>
  <c r="D465" i="6"/>
  <c r="E465" i="6"/>
  <c r="A466" i="6"/>
  <c r="D466" i="6"/>
  <c r="E466" i="6"/>
  <c r="A467" i="6"/>
  <c r="D467" i="6"/>
  <c r="E467" i="6"/>
  <c r="A468" i="6"/>
  <c r="D468" i="6"/>
  <c r="E468" i="6"/>
  <c r="A469" i="6"/>
  <c r="D469" i="6"/>
  <c r="E469" i="6"/>
  <c r="A470" i="6"/>
  <c r="D470" i="6"/>
  <c r="E470" i="6"/>
  <c r="A471" i="6"/>
  <c r="D471" i="6"/>
  <c r="E471" i="6"/>
  <c r="A472" i="6"/>
  <c r="D472" i="6"/>
  <c r="E472" i="6"/>
  <c r="A473" i="6"/>
  <c r="D473" i="6"/>
  <c r="E473" i="6"/>
  <c r="A474" i="6"/>
  <c r="D474" i="6"/>
  <c r="E474" i="6"/>
  <c r="A475" i="6"/>
  <c r="D475" i="6"/>
  <c r="E475" i="6"/>
  <c r="A476" i="6"/>
  <c r="D476" i="6"/>
  <c r="E476" i="6"/>
  <c r="A477" i="6"/>
  <c r="D477" i="6"/>
  <c r="E477" i="6"/>
  <c r="A478" i="6"/>
  <c r="D478" i="6"/>
  <c r="E478" i="6"/>
  <c r="A479" i="6"/>
  <c r="D479" i="6"/>
  <c r="E479" i="6"/>
  <c r="A485" i="6"/>
  <c r="D485" i="6"/>
  <c r="E485" i="6"/>
  <c r="A486" i="6"/>
  <c r="D486" i="6"/>
  <c r="E486" i="6"/>
  <c r="A487" i="6"/>
  <c r="D487" i="6"/>
  <c r="E487" i="6"/>
  <c r="A488" i="6"/>
  <c r="D488" i="6"/>
  <c r="E488" i="6"/>
  <c r="A489" i="6"/>
  <c r="D489" i="6"/>
  <c r="E489" i="6"/>
  <c r="A490" i="6"/>
  <c r="D490" i="6"/>
  <c r="E490" i="6"/>
  <c r="A491" i="6"/>
  <c r="D491" i="6"/>
  <c r="E491" i="6"/>
  <c r="A492" i="6"/>
  <c r="D492" i="6"/>
  <c r="E492" i="6"/>
  <c r="A493" i="6"/>
  <c r="D493" i="6"/>
  <c r="E493" i="6"/>
  <c r="A494" i="6"/>
  <c r="D494" i="6"/>
  <c r="E494" i="6"/>
  <c r="A495" i="6"/>
  <c r="D495" i="6"/>
  <c r="E495" i="6"/>
  <c r="A496" i="6"/>
  <c r="D496" i="6"/>
  <c r="E496" i="6"/>
  <c r="A501" i="6"/>
  <c r="D501" i="6"/>
  <c r="E501" i="6"/>
  <c r="A502" i="6"/>
  <c r="D502" i="6"/>
  <c r="E502" i="6"/>
  <c r="A503" i="6"/>
  <c r="D503" i="6"/>
  <c r="E503" i="6"/>
  <c r="A504" i="6"/>
  <c r="D504" i="6"/>
  <c r="E504" i="6"/>
  <c r="A505" i="6"/>
  <c r="D505" i="6"/>
  <c r="E505" i="6"/>
  <c r="A506" i="6"/>
  <c r="D506" i="6"/>
  <c r="E506" i="6"/>
  <c r="L506" i="6" s="1"/>
  <c r="A507" i="6"/>
  <c r="D507" i="6"/>
  <c r="E507" i="6"/>
  <c r="M507" i="6" s="1"/>
  <c r="A508" i="6"/>
  <c r="D508" i="6"/>
  <c r="E508" i="6"/>
  <c r="A513" i="6"/>
  <c r="D513" i="6"/>
  <c r="E513" i="6"/>
  <c r="A514" i="6"/>
  <c r="D514" i="6"/>
  <c r="E514" i="6"/>
  <c r="A515" i="6"/>
  <c r="D515" i="6"/>
  <c r="E515" i="6"/>
  <c r="A516" i="6"/>
  <c r="D516" i="6"/>
  <c r="E516" i="6"/>
  <c r="A517" i="6"/>
  <c r="D517" i="6"/>
  <c r="E517" i="6"/>
  <c r="A518" i="6"/>
  <c r="D518" i="6"/>
  <c r="E518" i="6"/>
  <c r="A519" i="6"/>
  <c r="D519" i="6"/>
  <c r="E519" i="6"/>
  <c r="E528" i="6"/>
  <c r="N528" i="6" s="1"/>
  <c r="L528" i="6"/>
  <c r="M528" i="6"/>
  <c r="E529" i="6"/>
  <c r="N529" i="6" s="1"/>
  <c r="H529" i="6"/>
  <c r="J529" i="6"/>
  <c r="P529" i="6"/>
  <c r="D533" i="6"/>
  <c r="E533" i="6"/>
  <c r="H533" i="6"/>
  <c r="I533" i="6"/>
  <c r="J533" i="6"/>
  <c r="D534" i="6"/>
  <c r="E534" i="6"/>
  <c r="H534" i="6"/>
  <c r="I534" i="6"/>
  <c r="J534" i="6"/>
  <c r="D535" i="6"/>
  <c r="E535" i="6"/>
  <c r="M535" i="6"/>
  <c r="D536" i="6"/>
  <c r="E536" i="6"/>
  <c r="H536" i="6"/>
  <c r="I536" i="6"/>
  <c r="J536" i="6"/>
  <c r="E537" i="6"/>
  <c r="D537" i="6" s="1"/>
  <c r="H537" i="6"/>
  <c r="J537" i="6"/>
  <c r="E538" i="6"/>
  <c r="D538" i="6" s="1"/>
  <c r="H538" i="6"/>
  <c r="J538" i="6"/>
  <c r="D539" i="6"/>
  <c r="E539" i="6"/>
  <c r="H539" i="6"/>
  <c r="I539" i="6"/>
  <c r="J539" i="6"/>
  <c r="D540" i="6"/>
  <c r="E540" i="6"/>
  <c r="H540" i="6"/>
  <c r="J540" i="6"/>
  <c r="D541" i="6"/>
  <c r="E541" i="6"/>
  <c r="H541" i="6"/>
  <c r="J541" i="6"/>
  <c r="E542" i="6"/>
  <c r="D542" i="6" s="1"/>
  <c r="H542" i="6"/>
  <c r="J542" i="6"/>
  <c r="E543" i="6"/>
  <c r="D543" i="6" s="1"/>
  <c r="H543" i="6"/>
  <c r="J543" i="6"/>
  <c r="D544" i="6"/>
  <c r="E544" i="6"/>
  <c r="H544" i="6"/>
  <c r="I544" i="6"/>
  <c r="J544" i="6"/>
  <c r="D545" i="6"/>
  <c r="E545" i="6"/>
  <c r="H545" i="6"/>
  <c r="I545" i="6"/>
  <c r="J545" i="6"/>
  <c r="D546" i="6"/>
  <c r="E546" i="6"/>
  <c r="H546" i="6"/>
  <c r="I546" i="6"/>
  <c r="J546" i="6"/>
  <c r="M550" i="6"/>
  <c r="D551" i="6"/>
  <c r="E551" i="6"/>
  <c r="H551" i="6"/>
  <c r="I551" i="6"/>
  <c r="J551" i="6"/>
  <c r="D552" i="6"/>
  <c r="E552" i="6"/>
  <c r="H552" i="6"/>
  <c r="I552" i="6"/>
  <c r="J552" i="6"/>
  <c r="D553" i="6"/>
  <c r="E553" i="6"/>
  <c r="H553" i="6"/>
  <c r="I553" i="6"/>
  <c r="J553" i="6"/>
  <c r="D554" i="6"/>
  <c r="E554" i="6"/>
  <c r="H554" i="6"/>
  <c r="J554" i="6"/>
  <c r="D555" i="6"/>
  <c r="E555" i="6"/>
  <c r="H555" i="6"/>
  <c r="I555" i="6"/>
  <c r="J555" i="6"/>
  <c r="M560" i="6"/>
  <c r="D561" i="6"/>
  <c r="E561" i="6"/>
  <c r="H561" i="6"/>
  <c r="I561" i="6"/>
  <c r="J561" i="6"/>
  <c r="D562" i="6"/>
  <c r="E562" i="6"/>
  <c r="H562" i="6"/>
  <c r="I562" i="6"/>
  <c r="J562" i="6"/>
  <c r="D563" i="6"/>
  <c r="E563" i="6"/>
  <c r="H563" i="6"/>
  <c r="J563" i="6"/>
  <c r="D564" i="6"/>
  <c r="E564" i="6"/>
  <c r="H564" i="6"/>
  <c r="I564" i="6"/>
  <c r="J564" i="6"/>
  <c r="D565" i="6"/>
  <c r="E565" i="6"/>
  <c r="H565" i="6"/>
  <c r="I565" i="6"/>
  <c r="J565" i="6"/>
  <c r="D566" i="6"/>
  <c r="E566" i="6"/>
  <c r="H566" i="6"/>
  <c r="I566" i="6"/>
  <c r="J566" i="6"/>
  <c r="D567" i="6"/>
  <c r="E567" i="6"/>
  <c r="H567" i="6"/>
  <c r="J567" i="6"/>
  <c r="D568" i="6"/>
  <c r="E568" i="6"/>
  <c r="H568" i="6"/>
  <c r="J568" i="6"/>
  <c r="M570" i="6"/>
  <c r="D571" i="6"/>
  <c r="E571" i="6"/>
  <c r="H571" i="6"/>
  <c r="I571" i="6"/>
  <c r="J571" i="6"/>
  <c r="E572" i="6"/>
  <c r="D572" i="6" s="1"/>
  <c r="H572" i="6"/>
  <c r="J572" i="6"/>
  <c r="D573" i="6"/>
  <c r="E573" i="6"/>
  <c r="H573" i="6"/>
  <c r="J573" i="6"/>
  <c r="D574" i="6"/>
  <c r="E574" i="6"/>
  <c r="H574" i="6"/>
  <c r="I574" i="6"/>
  <c r="J574" i="6"/>
  <c r="D575" i="6"/>
  <c r="E575" i="6"/>
  <c r="H575" i="6"/>
  <c r="I575" i="6"/>
  <c r="J575" i="6"/>
  <c r="D576" i="6"/>
  <c r="E576" i="6"/>
  <c r="H576" i="6"/>
  <c r="D577" i="6"/>
  <c r="E577" i="6"/>
  <c r="H577" i="6"/>
  <c r="J577" i="6"/>
  <c r="D578" i="6"/>
  <c r="E578" i="6"/>
  <c r="H578" i="6"/>
  <c r="J578" i="6"/>
  <c r="D579" i="6"/>
  <c r="E579" i="6"/>
  <c r="H579" i="6"/>
  <c r="I579" i="6"/>
  <c r="J579" i="6"/>
  <c r="D580" i="6"/>
  <c r="E580" i="6"/>
  <c r="H580" i="6"/>
  <c r="J580" i="6"/>
  <c r="D581" i="6"/>
  <c r="E581" i="6"/>
  <c r="H581" i="6"/>
  <c r="J581" i="6"/>
  <c r="D582" i="6"/>
  <c r="E582" i="6"/>
  <c r="H582" i="6"/>
  <c r="J582" i="6"/>
  <c r="D583" i="6"/>
  <c r="E583" i="6"/>
  <c r="H583" i="6"/>
  <c r="I583" i="6"/>
  <c r="D584" i="6"/>
  <c r="E584" i="6"/>
  <c r="H584" i="6"/>
  <c r="I584" i="6"/>
  <c r="J584" i="6"/>
  <c r="D585" i="6"/>
  <c r="E585" i="6"/>
  <c r="H585" i="6"/>
  <c r="I585" i="6"/>
  <c r="J585" i="6"/>
  <c r="D586" i="6"/>
  <c r="E586" i="6"/>
  <c r="H586" i="6"/>
  <c r="I586" i="6"/>
  <c r="J586" i="6"/>
  <c r="D587" i="6"/>
  <c r="E587" i="6"/>
  <c r="H587" i="6"/>
  <c r="I587" i="6"/>
  <c r="J587" i="6"/>
  <c r="D588" i="6"/>
  <c r="E588" i="6"/>
  <c r="H588" i="6"/>
  <c r="J588" i="6"/>
  <c r="M589" i="6"/>
  <c r="M590" i="6"/>
  <c r="D591" i="6"/>
  <c r="E591" i="6"/>
  <c r="H591" i="6"/>
  <c r="I591" i="6"/>
  <c r="J591" i="6"/>
  <c r="D592" i="6"/>
  <c r="E592" i="6"/>
  <c r="H592" i="6"/>
  <c r="I592" i="6"/>
  <c r="J592" i="6"/>
  <c r="D593" i="6"/>
  <c r="E593" i="6"/>
  <c r="H593" i="6"/>
  <c r="J593" i="6"/>
  <c r="D594" i="6"/>
  <c r="E594" i="6"/>
  <c r="M594" i="6"/>
  <c r="D595" i="6"/>
  <c r="E595" i="6"/>
  <c r="H595" i="6"/>
  <c r="I595" i="6"/>
  <c r="J595" i="6"/>
  <c r="M596" i="6"/>
  <c r="M597" i="6"/>
  <c r="M600" i="6"/>
  <c r="D601" i="6"/>
  <c r="E601" i="6"/>
  <c r="H601" i="6"/>
  <c r="I601" i="6"/>
  <c r="J601" i="6"/>
  <c r="D602" i="6"/>
  <c r="E602" i="6"/>
  <c r="H602" i="6"/>
  <c r="J602" i="6"/>
  <c r="D603" i="6"/>
  <c r="E603" i="6"/>
  <c r="H603" i="6"/>
  <c r="I603" i="6"/>
  <c r="J603" i="6"/>
  <c r="D604" i="6"/>
  <c r="E604" i="6"/>
  <c r="H604" i="6"/>
  <c r="I604" i="6"/>
  <c r="J604" i="6"/>
  <c r="D605" i="6"/>
  <c r="E605" i="6"/>
  <c r="H605" i="6"/>
  <c r="I605" i="6"/>
  <c r="D606" i="6"/>
  <c r="E606" i="6"/>
  <c r="H606" i="6"/>
  <c r="J606" i="6"/>
  <c r="D607" i="6"/>
  <c r="E607" i="6"/>
  <c r="H607" i="6"/>
  <c r="I607" i="6"/>
  <c r="J607" i="6"/>
  <c r="D608" i="6"/>
  <c r="E608" i="6"/>
  <c r="H608" i="6"/>
  <c r="I608" i="6"/>
  <c r="J608" i="6"/>
  <c r="D609" i="6"/>
  <c r="E609" i="6"/>
  <c r="H609" i="6"/>
  <c r="E610" i="6"/>
  <c r="D610" i="6" s="1"/>
  <c r="H610" i="6"/>
  <c r="J610" i="6"/>
  <c r="D611" i="6"/>
  <c r="E611" i="6"/>
  <c r="H611" i="6"/>
  <c r="I611" i="6"/>
  <c r="J611" i="6"/>
  <c r="M620" i="6"/>
  <c r="D621" i="6"/>
  <c r="E621" i="6"/>
  <c r="H621" i="6"/>
  <c r="I621" i="6"/>
  <c r="J621" i="6"/>
  <c r="D622" i="6"/>
  <c r="E622" i="6"/>
  <c r="H622" i="6"/>
  <c r="I622" i="6"/>
  <c r="J622" i="6"/>
  <c r="D623" i="6"/>
  <c r="E623" i="6"/>
  <c r="H623" i="6"/>
  <c r="J623" i="6"/>
  <c r="D624" i="6"/>
  <c r="E624" i="6"/>
  <c r="H624" i="6"/>
  <c r="J624" i="6"/>
  <c r="D625" i="6"/>
  <c r="E625" i="6"/>
  <c r="H625" i="6"/>
  <c r="J625" i="6"/>
  <c r="D626" i="6"/>
  <c r="E626" i="6"/>
  <c r="H626" i="6"/>
  <c r="I626" i="6"/>
  <c r="J626" i="6"/>
  <c r="D627" i="6"/>
  <c r="E627" i="6"/>
  <c r="H627" i="6"/>
  <c r="J627" i="6"/>
  <c r="D628" i="6"/>
  <c r="E628" i="6"/>
  <c r="H628" i="6"/>
  <c r="I628" i="6"/>
  <c r="J628" i="6"/>
  <c r="D629" i="6"/>
  <c r="E629" i="6"/>
  <c r="H629" i="6"/>
  <c r="J629" i="6"/>
  <c r="D630" i="6"/>
  <c r="E630" i="6"/>
  <c r="H630" i="6"/>
  <c r="J630" i="6"/>
  <c r="D631" i="6"/>
  <c r="E631" i="6"/>
  <c r="H631" i="6"/>
  <c r="J631" i="6"/>
  <c r="D632" i="6"/>
  <c r="E632" i="6"/>
  <c r="H632" i="6"/>
  <c r="J632" i="6"/>
  <c r="M633" i="6"/>
  <c r="M634" i="6"/>
  <c r="M635" i="6"/>
  <c r="M636" i="6"/>
  <c r="M637" i="6"/>
  <c r="M638" i="6"/>
  <c r="M639" i="6"/>
  <c r="M640" i="6"/>
  <c r="A641" i="6"/>
  <c r="A642" i="6" s="1"/>
  <c r="A643" i="6" s="1"/>
  <c r="A644" i="6" s="1"/>
  <c r="A645" i="6" s="1"/>
  <c r="A646" i="6" s="1"/>
  <c r="A647" i="6" s="1"/>
  <c r="A648" i="6" s="1"/>
  <c r="D641" i="6"/>
  <c r="E641" i="6"/>
  <c r="H641" i="6"/>
  <c r="I641" i="6"/>
  <c r="J641" i="6"/>
  <c r="D642" i="6"/>
  <c r="E642" i="6"/>
  <c r="H642" i="6"/>
  <c r="I642" i="6"/>
  <c r="J642" i="6"/>
  <c r="D643" i="6"/>
  <c r="E643" i="6"/>
  <c r="H643" i="6"/>
  <c r="I643" i="6"/>
  <c r="J643" i="6"/>
  <c r="D644" i="6"/>
  <c r="E644" i="6"/>
  <c r="H644" i="6"/>
  <c r="I644" i="6"/>
  <c r="D645" i="6"/>
  <c r="E645" i="6"/>
  <c r="H645" i="6"/>
  <c r="I645" i="6"/>
  <c r="D646" i="6"/>
  <c r="E646" i="6"/>
  <c r="H646" i="6"/>
  <c r="I646" i="6"/>
  <c r="D647" i="6"/>
  <c r="E647" i="6"/>
  <c r="H647" i="6"/>
  <c r="I647" i="6"/>
  <c r="J647" i="6"/>
  <c r="D648" i="6"/>
  <c r="E648" i="6"/>
  <c r="H648" i="6"/>
  <c r="I648" i="6"/>
  <c r="J648" i="6"/>
  <c r="M649" i="6"/>
  <c r="C650" i="6"/>
  <c r="D650" i="6"/>
  <c r="E650" i="6"/>
  <c r="H650" i="6"/>
  <c r="I650" i="6"/>
  <c r="J650" i="6"/>
  <c r="D651" i="6"/>
  <c r="E651" i="6"/>
  <c r="H651" i="6"/>
  <c r="K651" i="6"/>
  <c r="D652" i="6"/>
  <c r="E652" i="6"/>
  <c r="H653" i="6"/>
  <c r="M654" i="6"/>
  <c r="M655" i="6"/>
  <c r="M656" i="6"/>
  <c r="D659" i="6"/>
  <c r="E659" i="6"/>
  <c r="K659" i="6"/>
  <c r="M659" i="6" s="1"/>
  <c r="M660" i="6"/>
  <c r="D661" i="6"/>
  <c r="E661" i="6"/>
  <c r="K661" i="6"/>
  <c r="M661" i="6" s="1"/>
  <c r="E662" i="6"/>
  <c r="D662" i="6" s="1"/>
  <c r="K662" i="6"/>
  <c r="M662" i="6" s="1"/>
  <c r="D663" i="6"/>
  <c r="E663" i="6"/>
  <c r="K663" i="6"/>
  <c r="M663" i="6" s="1"/>
  <c r="D664" i="6"/>
  <c r="E664" i="6"/>
  <c r="K664" i="6"/>
  <c r="M664" i="6" s="1"/>
  <c r="D665" i="6"/>
  <c r="E665" i="6"/>
  <c r="K665" i="6"/>
  <c r="M665" i="6" s="1"/>
  <c r="D666" i="6"/>
  <c r="E666" i="6"/>
  <c r="M666" i="6"/>
  <c r="M668" i="6"/>
  <c r="D669" i="6"/>
  <c r="E669" i="6"/>
  <c r="K669" i="6"/>
  <c r="M669" i="6" s="1"/>
  <c r="D670" i="6"/>
  <c r="E670" i="6"/>
  <c r="K670" i="6"/>
  <c r="M670" i="6" s="1"/>
  <c r="E671" i="6"/>
  <c r="D671" i="6" s="1"/>
  <c r="K671" i="6"/>
  <c r="M671" i="6" s="1"/>
  <c r="E672" i="6"/>
  <c r="D672" i="6" s="1"/>
  <c r="K672" i="6"/>
  <c r="M672" i="6" s="1"/>
  <c r="E673" i="6"/>
  <c r="D673" i="6" s="1"/>
  <c r="K673" i="6"/>
  <c r="M673" i="6" s="1"/>
  <c r="E674" i="6"/>
  <c r="D674" i="6" s="1"/>
  <c r="K674" i="6"/>
  <c r="M674" i="6" s="1"/>
  <c r="D675" i="6"/>
  <c r="E675" i="6"/>
  <c r="K675" i="6"/>
  <c r="M675" i="6" s="1"/>
  <c r="D676" i="6"/>
  <c r="E676" i="6"/>
  <c r="K676" i="6"/>
  <c r="M676" i="6" s="1"/>
  <c r="D677" i="6"/>
  <c r="E677" i="6"/>
  <c r="L677" i="6"/>
  <c r="M677" i="6" s="1"/>
  <c r="D678" i="6"/>
  <c r="E678" i="6"/>
  <c r="L678" i="6"/>
  <c r="M678" i="6" s="1"/>
  <c r="M679" i="6"/>
  <c r="D680" i="6"/>
  <c r="E680" i="6"/>
  <c r="K680" i="6"/>
  <c r="D681" i="6"/>
  <c r="E681" i="6"/>
  <c r="K681" i="6"/>
  <c r="M681" i="6" s="1"/>
  <c r="D682" i="6"/>
  <c r="E682" i="6" s="1"/>
  <c r="K682" i="6"/>
  <c r="M682" i="6" s="1"/>
  <c r="M683" i="6"/>
  <c r="D684" i="6"/>
  <c r="E684" i="6"/>
  <c r="L684" i="6"/>
  <c r="M684" i="6" s="1"/>
  <c r="D685" i="6"/>
  <c r="E685" i="6"/>
  <c r="K685" i="6"/>
  <c r="M685" i="6" s="1"/>
  <c r="D686" i="6"/>
  <c r="E686" i="6"/>
  <c r="L686" i="6"/>
  <c r="M686" i="6" s="1"/>
  <c r="D687" i="6"/>
  <c r="E687" i="6"/>
  <c r="K687" i="6"/>
  <c r="M687" i="6" s="1"/>
  <c r="D688" i="6"/>
  <c r="E688" i="6"/>
  <c r="L688" i="6"/>
  <c r="M688" i="6" s="1"/>
  <c r="D689" i="6"/>
  <c r="E689" i="6"/>
  <c r="K689" i="6"/>
  <c r="M689" i="6" s="1"/>
  <c r="D690" i="6"/>
  <c r="E690" i="6"/>
  <c r="L690" i="6"/>
  <c r="M690" i="6" s="1"/>
  <c r="D691" i="6"/>
  <c r="E691" i="6"/>
  <c r="K691" i="6"/>
  <c r="M691" i="6" s="1"/>
  <c r="D692" i="6"/>
  <c r="E692" i="6"/>
  <c r="L692" i="6"/>
  <c r="M692" i="6" s="1"/>
  <c r="D693" i="6"/>
  <c r="E693" i="6"/>
  <c r="K693" i="6"/>
  <c r="M693" i="6" s="1"/>
  <c r="D694" i="6"/>
  <c r="E694" i="6"/>
  <c r="L694" i="6"/>
  <c r="M694" i="6" s="1"/>
  <c r="D695" i="6"/>
  <c r="E695" i="6"/>
  <c r="K695" i="6"/>
  <c r="M695" i="6" s="1"/>
  <c r="D696" i="6"/>
  <c r="E696" i="6"/>
  <c r="L696" i="6"/>
  <c r="M696" i="6" s="1"/>
  <c r="D697" i="6"/>
  <c r="E697" i="6"/>
  <c r="K697" i="6"/>
  <c r="M697" i="6" s="1"/>
  <c r="D698" i="6"/>
  <c r="E698" i="6"/>
  <c r="L698" i="6"/>
  <c r="M698" i="6" s="1"/>
  <c r="D699" i="6"/>
  <c r="E699" i="6"/>
  <c r="K699" i="6"/>
  <c r="M699" i="6" s="1"/>
  <c r="D700" i="6"/>
  <c r="E700" i="6"/>
  <c r="L700" i="6"/>
  <c r="M700" i="6" s="1"/>
  <c r="D701" i="6"/>
  <c r="E701" i="6"/>
  <c r="K701" i="6"/>
  <c r="M701" i="6" s="1"/>
  <c r="D702" i="6"/>
  <c r="E702" i="6"/>
  <c r="L702" i="6"/>
  <c r="M702" i="6" s="1"/>
  <c r="D703" i="6"/>
  <c r="E703" i="6"/>
  <c r="K703" i="6"/>
  <c r="M703" i="6" s="1"/>
  <c r="D704" i="6"/>
  <c r="E704" i="6"/>
  <c r="L704" i="6"/>
  <c r="M704" i="6" s="1"/>
  <c r="D705" i="6"/>
  <c r="E705" i="6"/>
  <c r="K705" i="6"/>
  <c r="M705" i="6" s="1"/>
  <c r="D706" i="6"/>
  <c r="E706" i="6"/>
  <c r="L706" i="6"/>
  <c r="M706" i="6" s="1"/>
  <c r="D707" i="6"/>
  <c r="E707" i="6"/>
  <c r="K707" i="6"/>
  <c r="M707" i="6" s="1"/>
  <c r="D708" i="6"/>
  <c r="E708" i="6"/>
  <c r="L708" i="6"/>
  <c r="M708" i="6" s="1"/>
  <c r="D709" i="6"/>
  <c r="E709" i="6"/>
  <c r="K709" i="6"/>
  <c r="M709" i="6" s="1"/>
  <c r="D710" i="6"/>
  <c r="E710" i="6"/>
  <c r="L710" i="6"/>
  <c r="M710" i="6" s="1"/>
  <c r="D711" i="6"/>
  <c r="E711" i="6"/>
  <c r="K711" i="6"/>
  <c r="M711" i="6" s="1"/>
  <c r="D712" i="6"/>
  <c r="E712" i="6"/>
  <c r="L712" i="6"/>
  <c r="M712" i="6" s="1"/>
  <c r="D713" i="6"/>
  <c r="E713" i="6"/>
  <c r="K713" i="6"/>
  <c r="M713" i="6" s="1"/>
  <c r="D714" i="6"/>
  <c r="E714" i="6"/>
  <c r="L714" i="6"/>
  <c r="M714" i="6" s="1"/>
  <c r="D715" i="6"/>
  <c r="E715" i="6"/>
  <c r="K715" i="6"/>
  <c r="M715" i="6" s="1"/>
  <c r="D716" i="6"/>
  <c r="E716" i="6"/>
  <c r="L716" i="6"/>
  <c r="M716" i="6" s="1"/>
  <c r="D717" i="6"/>
  <c r="E717" i="6"/>
  <c r="K717" i="6"/>
  <c r="M717" i="6" s="1"/>
  <c r="M718" i="6"/>
  <c r="D719" i="6"/>
  <c r="E719" i="6"/>
  <c r="I719" i="6"/>
  <c r="D720" i="6"/>
  <c r="E720" i="6"/>
  <c r="K720" i="6"/>
  <c r="M720" i="6" s="1"/>
  <c r="D721" i="6"/>
  <c r="E721" i="6"/>
  <c r="L721" i="6"/>
  <c r="M721" i="6" s="1"/>
  <c r="D722" i="6"/>
  <c r="E722" i="6"/>
  <c r="K722" i="6"/>
  <c r="M722" i="6" s="1"/>
  <c r="D723" i="6"/>
  <c r="E723" i="6"/>
  <c r="L723" i="6"/>
  <c r="M723" i="6" s="1"/>
  <c r="D724" i="6"/>
  <c r="E724" i="6"/>
  <c r="K724" i="6"/>
  <c r="M724" i="6" s="1"/>
  <c r="D725" i="6"/>
  <c r="E725" i="6"/>
  <c r="L725" i="6"/>
  <c r="M725" i="6" s="1"/>
  <c r="D726" i="6"/>
  <c r="E726" i="6"/>
  <c r="K726" i="6"/>
  <c r="M726" i="6" s="1"/>
  <c r="D727" i="6"/>
  <c r="E727" i="6"/>
  <c r="L727" i="6"/>
  <c r="M727" i="6" s="1"/>
  <c r="D728" i="6"/>
  <c r="E728" i="6"/>
  <c r="K728" i="6"/>
  <c r="M728" i="6" s="1"/>
  <c r="D729" i="6"/>
  <c r="E729" i="6"/>
  <c r="L729" i="6"/>
  <c r="M729" i="6" s="1"/>
  <c r="D730" i="6"/>
  <c r="E730" i="6"/>
  <c r="K730" i="6"/>
  <c r="M730" i="6" s="1"/>
  <c r="D731" i="6"/>
  <c r="E731" i="6"/>
  <c r="L731" i="6"/>
  <c r="M731" i="6" s="1"/>
  <c r="D732" i="6"/>
  <c r="E732" i="6"/>
  <c r="K732" i="6"/>
  <c r="M732" i="6" s="1"/>
  <c r="D733" i="6"/>
  <c r="E733" i="6"/>
  <c r="L733" i="6"/>
  <c r="M733" i="6" s="1"/>
  <c r="D734" i="6"/>
  <c r="E734" i="6"/>
  <c r="K734" i="6"/>
  <c r="M734" i="6" s="1"/>
  <c r="D735" i="6"/>
  <c r="E735" i="6"/>
  <c r="L735" i="6"/>
  <c r="M735" i="6" s="1"/>
  <c r="D736" i="6"/>
  <c r="E736" i="6"/>
  <c r="K736" i="6"/>
  <c r="M736" i="6" s="1"/>
  <c r="D737" i="6"/>
  <c r="E737" i="6"/>
  <c r="L737" i="6"/>
  <c r="M737" i="6" s="1"/>
  <c r="D738" i="6"/>
  <c r="E738" i="6"/>
  <c r="K738" i="6"/>
  <c r="M738" i="6" s="1"/>
  <c r="D739" i="6"/>
  <c r="E739" i="6"/>
  <c r="L739" i="6"/>
  <c r="M739" i="6" s="1"/>
  <c r="D740" i="6"/>
  <c r="E740" i="6"/>
  <c r="K740" i="6"/>
  <c r="M740" i="6" s="1"/>
  <c r="D741" i="6"/>
  <c r="E741" i="6"/>
  <c r="L741" i="6"/>
  <c r="M741" i="6" s="1"/>
  <c r="D742" i="6"/>
  <c r="E742" i="6"/>
  <c r="K742" i="6"/>
  <c r="M742" i="6" s="1"/>
  <c r="D743" i="6"/>
  <c r="E743" i="6"/>
  <c r="L743" i="6"/>
  <c r="M743" i="6" s="1"/>
  <c r="D744" i="6"/>
  <c r="E744" i="6"/>
  <c r="L744" i="6"/>
  <c r="M744" i="6" s="1"/>
  <c r="E745" i="6"/>
  <c r="D745" i="6" s="1"/>
  <c r="K745" i="6"/>
  <c r="C746" i="6"/>
  <c r="D746" i="6"/>
  <c r="E746" i="6"/>
  <c r="I746" i="6"/>
  <c r="D747" i="6"/>
  <c r="E747" i="6"/>
  <c r="M747" i="6"/>
  <c r="M748" i="6"/>
  <c r="A751" i="6"/>
  <c r="D751" i="6"/>
  <c r="E751" i="6"/>
  <c r="M751" i="6"/>
  <c r="A752" i="6"/>
  <c r="D752" i="6"/>
  <c r="E752" i="6"/>
  <c r="M752" i="6"/>
  <c r="A753" i="6"/>
  <c r="A754" i="6" s="1"/>
  <c r="A755" i="6" s="1"/>
  <c r="A756" i="6" s="1"/>
  <c r="D753" i="6"/>
  <c r="E753" i="6"/>
  <c r="D754" i="6"/>
  <c r="E754" i="6"/>
  <c r="D755" i="6"/>
  <c r="E755" i="6"/>
  <c r="M755" i="6"/>
  <c r="D756" i="6"/>
  <c r="E756" i="6"/>
  <c r="C757" i="6"/>
  <c r="D757" i="6"/>
  <c r="E757" i="6"/>
  <c r="L757" i="6"/>
  <c r="D758" i="6"/>
  <c r="E758" i="6"/>
  <c r="H758" i="6"/>
  <c r="I758" i="6"/>
  <c r="J758" i="6"/>
  <c r="H759" i="6"/>
  <c r="I759" i="6"/>
  <c r="A457" i="7"/>
  <c r="D457" i="7"/>
  <c r="E457" i="7"/>
  <c r="A458" i="7"/>
  <c r="D458" i="7"/>
  <c r="E458" i="7"/>
  <c r="A459" i="7"/>
  <c r="D459" i="7"/>
  <c r="E459" i="7"/>
  <c r="A460" i="7"/>
  <c r="D460" i="7"/>
  <c r="E460" i="7"/>
  <c r="A461" i="7"/>
  <c r="D461" i="7"/>
  <c r="E461" i="7"/>
  <c r="A462" i="7"/>
  <c r="D462" i="7"/>
  <c r="E462" i="7"/>
  <c r="A463" i="7"/>
  <c r="D463" i="7"/>
  <c r="E463" i="7"/>
  <c r="A464" i="7"/>
  <c r="D464" i="7"/>
  <c r="E464" i="7"/>
  <c r="A465" i="7"/>
  <c r="D465" i="7"/>
  <c r="E465" i="7"/>
  <c r="A466" i="7"/>
  <c r="D466" i="7"/>
  <c r="E466" i="7"/>
  <c r="A467" i="7"/>
  <c r="D467" i="7"/>
  <c r="E467" i="7"/>
  <c r="A468" i="7"/>
  <c r="D468" i="7"/>
  <c r="E468" i="7"/>
  <c r="A469" i="7"/>
  <c r="D469" i="7"/>
  <c r="E469" i="7"/>
  <c r="A470" i="7"/>
  <c r="D470" i="7"/>
  <c r="E470" i="7"/>
  <c r="A471" i="7"/>
  <c r="D471" i="7"/>
  <c r="E471" i="7"/>
  <c r="A472" i="7"/>
  <c r="D472" i="7"/>
  <c r="E472" i="7"/>
  <c r="A473" i="7"/>
  <c r="D473" i="7"/>
  <c r="E473" i="7"/>
  <c r="A474" i="7"/>
  <c r="D474" i="7"/>
  <c r="E474" i="7"/>
  <c r="A475" i="7"/>
  <c r="D475" i="7"/>
  <c r="E475" i="7"/>
  <c r="A476" i="7"/>
  <c r="D476" i="7"/>
  <c r="E476" i="7"/>
  <c r="A482" i="7"/>
  <c r="D482" i="7"/>
  <c r="E482" i="7"/>
  <c r="A483" i="7"/>
  <c r="D483" i="7"/>
  <c r="E483" i="7"/>
  <c r="A484" i="7"/>
  <c r="D484" i="7"/>
  <c r="E484" i="7"/>
  <c r="A485" i="7"/>
  <c r="D485" i="7"/>
  <c r="E485" i="7"/>
  <c r="A486" i="7"/>
  <c r="D486" i="7"/>
  <c r="E486" i="7"/>
  <c r="A487" i="7"/>
  <c r="D487" i="7"/>
  <c r="E487" i="7"/>
  <c r="A488" i="7"/>
  <c r="D488" i="7"/>
  <c r="E488" i="7"/>
  <c r="A489" i="7"/>
  <c r="D489" i="7"/>
  <c r="E489" i="7"/>
  <c r="A490" i="7"/>
  <c r="D490" i="7"/>
  <c r="E490" i="7"/>
  <c r="A491" i="7"/>
  <c r="D491" i="7"/>
  <c r="E491" i="7"/>
  <c r="A492" i="7"/>
  <c r="D492" i="7"/>
  <c r="E492" i="7"/>
  <c r="A493" i="7"/>
  <c r="D493" i="7"/>
  <c r="E493" i="7"/>
  <c r="A498" i="7"/>
  <c r="D498" i="7"/>
  <c r="E498" i="7"/>
  <c r="A499" i="7"/>
  <c r="D499" i="7"/>
  <c r="E499" i="7"/>
  <c r="A500" i="7"/>
  <c r="D500" i="7"/>
  <c r="E500" i="7"/>
  <c r="A501" i="7"/>
  <c r="D501" i="7"/>
  <c r="E501" i="7"/>
  <c r="A502" i="7"/>
  <c r="D502" i="7"/>
  <c r="E502" i="7"/>
  <c r="A503" i="7"/>
  <c r="D503" i="7"/>
  <c r="E503" i="7"/>
  <c r="A504" i="7"/>
  <c r="D504" i="7"/>
  <c r="E504" i="7"/>
  <c r="A505" i="7"/>
  <c r="D505" i="7"/>
  <c r="E505" i="7"/>
  <c r="A510" i="7"/>
  <c r="D510" i="7"/>
  <c r="E510" i="7"/>
  <c r="A511" i="7"/>
  <c r="D511" i="7"/>
  <c r="E511" i="7"/>
  <c r="A512" i="7"/>
  <c r="D512" i="7"/>
  <c r="E512" i="7"/>
  <c r="A513" i="7"/>
  <c r="D513" i="7"/>
  <c r="E513" i="7"/>
  <c r="A514" i="7"/>
  <c r="D514" i="7"/>
  <c r="E514" i="7"/>
  <c r="A515" i="7"/>
  <c r="D515" i="7"/>
  <c r="E515" i="7"/>
  <c r="A516" i="7"/>
  <c r="D516" i="7"/>
  <c r="E516" i="7"/>
  <c r="E525" i="7"/>
  <c r="N525" i="7" s="1"/>
  <c r="L525" i="7"/>
  <c r="M525" i="7"/>
  <c r="E526" i="7"/>
  <c r="N526" i="7" s="1"/>
  <c r="H526" i="7"/>
  <c r="J526" i="7"/>
  <c r="P526" i="7"/>
  <c r="D530" i="7"/>
  <c r="E530" i="7"/>
  <c r="H530" i="7"/>
  <c r="I530" i="7"/>
  <c r="J530" i="7"/>
  <c r="D531" i="7"/>
  <c r="E531" i="7"/>
  <c r="H531" i="7"/>
  <c r="I531" i="7"/>
  <c r="J531" i="7"/>
  <c r="D532" i="7"/>
  <c r="E532" i="7"/>
  <c r="M532" i="7"/>
  <c r="D533" i="7"/>
  <c r="E533" i="7"/>
  <c r="H533" i="7"/>
  <c r="I533" i="7"/>
  <c r="J533" i="7"/>
  <c r="E534" i="7"/>
  <c r="D534" i="7" s="1"/>
  <c r="H534" i="7"/>
  <c r="J534" i="7"/>
  <c r="E535" i="7"/>
  <c r="D535" i="7" s="1"/>
  <c r="H535" i="7"/>
  <c r="J535" i="7"/>
  <c r="D536" i="7"/>
  <c r="E536" i="7"/>
  <c r="H536" i="7"/>
  <c r="I536" i="7"/>
  <c r="J536" i="7"/>
  <c r="D537" i="7"/>
  <c r="E537" i="7"/>
  <c r="H537" i="7"/>
  <c r="J537" i="7"/>
  <c r="D538" i="7"/>
  <c r="E538" i="7"/>
  <c r="H538" i="7"/>
  <c r="J538" i="7"/>
  <c r="E539" i="7"/>
  <c r="D539" i="7" s="1"/>
  <c r="H539" i="7"/>
  <c r="J539" i="7"/>
  <c r="E540" i="7"/>
  <c r="D540" i="7" s="1"/>
  <c r="H540" i="7"/>
  <c r="J540" i="7"/>
  <c r="D541" i="7"/>
  <c r="E541" i="7"/>
  <c r="H541" i="7"/>
  <c r="I541" i="7"/>
  <c r="J541" i="7"/>
  <c r="D542" i="7"/>
  <c r="E542" i="7"/>
  <c r="H542" i="7"/>
  <c r="I542" i="7"/>
  <c r="J542" i="7"/>
  <c r="D543" i="7"/>
  <c r="E543" i="7"/>
  <c r="H543" i="7"/>
  <c r="I543" i="7"/>
  <c r="J543" i="7"/>
  <c r="M547" i="7"/>
  <c r="D548" i="7"/>
  <c r="E548" i="7"/>
  <c r="H548" i="7"/>
  <c r="I548" i="7"/>
  <c r="J548" i="7"/>
  <c r="D549" i="7"/>
  <c r="E549" i="7"/>
  <c r="H549" i="7"/>
  <c r="I549" i="7"/>
  <c r="J549" i="7"/>
  <c r="D550" i="7"/>
  <c r="E550" i="7"/>
  <c r="H550" i="7"/>
  <c r="I550" i="7"/>
  <c r="J550" i="7"/>
  <c r="D551" i="7"/>
  <c r="E551" i="7"/>
  <c r="H551" i="7"/>
  <c r="J551" i="7"/>
  <c r="D552" i="7"/>
  <c r="E552" i="7"/>
  <c r="H552" i="7"/>
  <c r="I552" i="7"/>
  <c r="J552" i="7"/>
  <c r="M557" i="7"/>
  <c r="D558" i="7"/>
  <c r="E558" i="7"/>
  <c r="H558" i="7"/>
  <c r="I558" i="7"/>
  <c r="J558" i="7"/>
  <c r="D559" i="7"/>
  <c r="E559" i="7"/>
  <c r="H559" i="7"/>
  <c r="I559" i="7"/>
  <c r="J559" i="7"/>
  <c r="D560" i="7"/>
  <c r="E560" i="7"/>
  <c r="H560" i="7"/>
  <c r="J560" i="7"/>
  <c r="D561" i="7"/>
  <c r="E561" i="7"/>
  <c r="H561" i="7"/>
  <c r="I561" i="7"/>
  <c r="J561" i="7"/>
  <c r="D562" i="7"/>
  <c r="E562" i="7"/>
  <c r="H562" i="7"/>
  <c r="I562" i="7"/>
  <c r="J562" i="7"/>
  <c r="D563" i="7"/>
  <c r="E563" i="7"/>
  <c r="H563" i="7"/>
  <c r="I563" i="7"/>
  <c r="J563" i="7"/>
  <c r="D564" i="7"/>
  <c r="E564" i="7"/>
  <c r="H564" i="7"/>
  <c r="J564" i="7"/>
  <c r="D565" i="7"/>
  <c r="E565" i="7"/>
  <c r="H565" i="7"/>
  <c r="J565" i="7"/>
  <c r="M567" i="7"/>
  <c r="D568" i="7"/>
  <c r="E568" i="7"/>
  <c r="H568" i="7"/>
  <c r="I568" i="7"/>
  <c r="J568" i="7"/>
  <c r="E569" i="7"/>
  <c r="D569" i="7" s="1"/>
  <c r="H569" i="7"/>
  <c r="J569" i="7"/>
  <c r="D570" i="7"/>
  <c r="E570" i="7"/>
  <c r="H570" i="7"/>
  <c r="J570" i="7"/>
  <c r="D571" i="7"/>
  <c r="E571" i="7"/>
  <c r="H571" i="7"/>
  <c r="I571" i="7"/>
  <c r="J571" i="7"/>
  <c r="D572" i="7"/>
  <c r="E572" i="7"/>
  <c r="H572" i="7"/>
  <c r="I572" i="7"/>
  <c r="J572" i="7"/>
  <c r="D573" i="7"/>
  <c r="E573" i="7"/>
  <c r="H573" i="7"/>
  <c r="K573" i="7" s="1"/>
  <c r="D574" i="7"/>
  <c r="E574" i="7"/>
  <c r="H574" i="7"/>
  <c r="J574" i="7"/>
  <c r="D575" i="7"/>
  <c r="E575" i="7"/>
  <c r="H575" i="7"/>
  <c r="J575" i="7"/>
  <c r="D576" i="7"/>
  <c r="E576" i="7"/>
  <c r="H576" i="7"/>
  <c r="I576" i="7"/>
  <c r="J576" i="7"/>
  <c r="D577" i="7"/>
  <c r="E577" i="7"/>
  <c r="H577" i="7"/>
  <c r="J577" i="7"/>
  <c r="D578" i="7"/>
  <c r="E578" i="7"/>
  <c r="H578" i="7"/>
  <c r="J578" i="7"/>
  <c r="D579" i="7"/>
  <c r="E579" i="7"/>
  <c r="H579" i="7"/>
  <c r="J579" i="7"/>
  <c r="D580" i="7"/>
  <c r="E580" i="7"/>
  <c r="H580" i="7"/>
  <c r="I580" i="7"/>
  <c r="D581" i="7"/>
  <c r="E581" i="7"/>
  <c r="H581" i="7"/>
  <c r="I581" i="7"/>
  <c r="J581" i="7"/>
  <c r="D582" i="7"/>
  <c r="E582" i="7"/>
  <c r="H582" i="7"/>
  <c r="I582" i="7"/>
  <c r="J582" i="7"/>
  <c r="D583" i="7"/>
  <c r="E583" i="7"/>
  <c r="H583" i="7"/>
  <c r="I583" i="7"/>
  <c r="J583" i="7"/>
  <c r="D584" i="7"/>
  <c r="E584" i="7"/>
  <c r="H584" i="7"/>
  <c r="I584" i="7"/>
  <c r="J584" i="7"/>
  <c r="D585" i="7"/>
  <c r="E585" i="7"/>
  <c r="H585" i="7"/>
  <c r="J585" i="7"/>
  <c r="M586" i="7"/>
  <c r="M587" i="7"/>
  <c r="D588" i="7"/>
  <c r="E588" i="7"/>
  <c r="H588" i="7"/>
  <c r="I588" i="7"/>
  <c r="J588" i="7"/>
  <c r="D589" i="7"/>
  <c r="E589" i="7"/>
  <c r="H589" i="7"/>
  <c r="I589" i="7"/>
  <c r="J589" i="7"/>
  <c r="D590" i="7"/>
  <c r="E590" i="7"/>
  <c r="H590" i="7"/>
  <c r="J590" i="7"/>
  <c r="D591" i="7"/>
  <c r="E591" i="7"/>
  <c r="M591" i="7"/>
  <c r="D592" i="7"/>
  <c r="E592" i="7"/>
  <c r="H592" i="7"/>
  <c r="I592" i="7"/>
  <c r="J592" i="7"/>
  <c r="M593" i="7"/>
  <c r="M594" i="7"/>
  <c r="M597" i="7"/>
  <c r="D598" i="7"/>
  <c r="E598" i="7"/>
  <c r="H598" i="7"/>
  <c r="I598" i="7"/>
  <c r="J598" i="7"/>
  <c r="D599" i="7"/>
  <c r="E599" i="7"/>
  <c r="H599" i="7"/>
  <c r="J599" i="7"/>
  <c r="D600" i="7"/>
  <c r="E600" i="7"/>
  <c r="H600" i="7"/>
  <c r="I600" i="7"/>
  <c r="J600" i="7"/>
  <c r="D601" i="7"/>
  <c r="E601" i="7"/>
  <c r="H601" i="7"/>
  <c r="I601" i="7"/>
  <c r="J601" i="7"/>
  <c r="D602" i="7"/>
  <c r="E602" i="7"/>
  <c r="H602" i="7"/>
  <c r="I602" i="7"/>
  <c r="D603" i="7"/>
  <c r="E603" i="7"/>
  <c r="H603" i="7"/>
  <c r="J603" i="7"/>
  <c r="D604" i="7"/>
  <c r="E604" i="7"/>
  <c r="H604" i="7"/>
  <c r="I604" i="7"/>
  <c r="J604" i="7"/>
  <c r="D605" i="7"/>
  <c r="E605" i="7"/>
  <c r="H605" i="7"/>
  <c r="I605" i="7"/>
  <c r="J605" i="7"/>
  <c r="D606" i="7"/>
  <c r="E606" i="7"/>
  <c r="H606" i="7"/>
  <c r="E607" i="7"/>
  <c r="D607" i="7" s="1"/>
  <c r="H607" i="7"/>
  <c r="J607" i="7"/>
  <c r="D608" i="7"/>
  <c r="E608" i="7"/>
  <c r="H608" i="7"/>
  <c r="I608" i="7"/>
  <c r="J608" i="7"/>
  <c r="M617" i="7"/>
  <c r="D618" i="7"/>
  <c r="E618" i="7"/>
  <c r="H618" i="7"/>
  <c r="I618" i="7"/>
  <c r="J618" i="7"/>
  <c r="D619" i="7"/>
  <c r="E619" i="7"/>
  <c r="H619" i="7"/>
  <c r="I619" i="7"/>
  <c r="J619" i="7"/>
  <c r="D620" i="7"/>
  <c r="E620" i="7"/>
  <c r="H620" i="7"/>
  <c r="J620" i="7"/>
  <c r="D621" i="7"/>
  <c r="E621" i="7"/>
  <c r="H621" i="7"/>
  <c r="J621" i="7"/>
  <c r="D622" i="7"/>
  <c r="E622" i="7"/>
  <c r="H622" i="7"/>
  <c r="J622" i="7"/>
  <c r="D623" i="7"/>
  <c r="E623" i="7"/>
  <c r="H623" i="7"/>
  <c r="I623" i="7"/>
  <c r="J623" i="7"/>
  <c r="D624" i="7"/>
  <c r="E624" i="7"/>
  <c r="H624" i="7"/>
  <c r="J624" i="7"/>
  <c r="D625" i="7"/>
  <c r="E625" i="7"/>
  <c r="H625" i="7"/>
  <c r="I625" i="7"/>
  <c r="J625" i="7"/>
  <c r="D626" i="7"/>
  <c r="E626" i="7"/>
  <c r="H626" i="7"/>
  <c r="J626" i="7"/>
  <c r="D627" i="7"/>
  <c r="E627" i="7"/>
  <c r="H627" i="7"/>
  <c r="J627" i="7"/>
  <c r="D628" i="7"/>
  <c r="E628" i="7"/>
  <c r="H628" i="7"/>
  <c r="J628" i="7"/>
  <c r="D629" i="7"/>
  <c r="E629" i="7"/>
  <c r="H629" i="7"/>
  <c r="J629" i="7"/>
  <c r="M630" i="7"/>
  <c r="M631" i="7"/>
  <c r="M632" i="7"/>
  <c r="M633" i="7"/>
  <c r="M634" i="7"/>
  <c r="M635" i="7"/>
  <c r="M636" i="7"/>
  <c r="M637" i="7"/>
  <c r="A638" i="7"/>
  <c r="A639" i="7" s="1"/>
  <c r="A640" i="7" s="1"/>
  <c r="A641" i="7" s="1"/>
  <c r="A642" i="7" s="1"/>
  <c r="A643" i="7" s="1"/>
  <c r="A644" i="7" s="1"/>
  <c r="A645" i="7" s="1"/>
  <c r="D638" i="7"/>
  <c r="E638" i="7"/>
  <c r="H638" i="7"/>
  <c r="I638" i="7"/>
  <c r="J638" i="7"/>
  <c r="D639" i="7"/>
  <c r="E639" i="7"/>
  <c r="H639" i="7"/>
  <c r="I639" i="7"/>
  <c r="J639" i="7"/>
  <c r="D640" i="7"/>
  <c r="E640" i="7"/>
  <c r="H640" i="7"/>
  <c r="I640" i="7"/>
  <c r="J640" i="7"/>
  <c r="D641" i="7"/>
  <c r="E641" i="7"/>
  <c r="H641" i="7"/>
  <c r="I641" i="7"/>
  <c r="D642" i="7"/>
  <c r="E642" i="7"/>
  <c r="H642" i="7"/>
  <c r="I642" i="7"/>
  <c r="D643" i="7"/>
  <c r="E643" i="7"/>
  <c r="H643" i="7"/>
  <c r="I643" i="7"/>
  <c r="D644" i="7"/>
  <c r="E644" i="7"/>
  <c r="H644" i="7"/>
  <c r="I644" i="7"/>
  <c r="J644" i="7"/>
  <c r="D645" i="7"/>
  <c r="E645" i="7"/>
  <c r="H645" i="7"/>
  <c r="I645" i="7"/>
  <c r="J645" i="7"/>
  <c r="M646" i="7"/>
  <c r="C647" i="7"/>
  <c r="D647" i="7"/>
  <c r="E647" i="7"/>
  <c r="H647" i="7"/>
  <c r="I647" i="7"/>
  <c r="J647" i="7"/>
  <c r="D648" i="7"/>
  <c r="E648" i="7"/>
  <c r="H648" i="7"/>
  <c r="K648" i="7"/>
  <c r="D649" i="7"/>
  <c r="E649" i="7"/>
  <c r="H650" i="7"/>
  <c r="M651" i="7"/>
  <c r="M652" i="7"/>
  <c r="M653" i="7"/>
  <c r="D656" i="7"/>
  <c r="E656" i="7"/>
  <c r="K656" i="7"/>
  <c r="M656" i="7" s="1"/>
  <c r="M657" i="7"/>
  <c r="D658" i="7"/>
  <c r="E658" i="7"/>
  <c r="K658" i="7"/>
  <c r="M658" i="7" s="1"/>
  <c r="E659" i="7"/>
  <c r="D659" i="7" s="1"/>
  <c r="K659" i="7"/>
  <c r="M659" i="7" s="1"/>
  <c r="D660" i="7"/>
  <c r="E660" i="7"/>
  <c r="K660" i="7"/>
  <c r="M660" i="7" s="1"/>
  <c r="D661" i="7"/>
  <c r="E661" i="7"/>
  <c r="K661" i="7"/>
  <c r="M661" i="7" s="1"/>
  <c r="D662" i="7"/>
  <c r="E662" i="7"/>
  <c r="K662" i="7"/>
  <c r="M662" i="7" s="1"/>
  <c r="D663" i="7"/>
  <c r="E663" i="7"/>
  <c r="M663" i="7"/>
  <c r="M665" i="7"/>
  <c r="D666" i="7"/>
  <c r="E666" i="7"/>
  <c r="K666" i="7"/>
  <c r="M666" i="7" s="1"/>
  <c r="D667" i="7"/>
  <c r="E667" i="7"/>
  <c r="K667" i="7"/>
  <c r="M667" i="7" s="1"/>
  <c r="E668" i="7"/>
  <c r="D668" i="7" s="1"/>
  <c r="K668" i="7"/>
  <c r="M668" i="7" s="1"/>
  <c r="E669" i="7"/>
  <c r="D669" i="7" s="1"/>
  <c r="K669" i="7"/>
  <c r="M669" i="7" s="1"/>
  <c r="E670" i="7"/>
  <c r="D670" i="7" s="1"/>
  <c r="K670" i="7"/>
  <c r="M670" i="7" s="1"/>
  <c r="E671" i="7"/>
  <c r="D671" i="7" s="1"/>
  <c r="K671" i="7"/>
  <c r="M671" i="7" s="1"/>
  <c r="D672" i="7"/>
  <c r="E672" i="7"/>
  <c r="K672" i="7"/>
  <c r="M672" i="7" s="1"/>
  <c r="D673" i="7"/>
  <c r="E673" i="7"/>
  <c r="K673" i="7"/>
  <c r="M673" i="7" s="1"/>
  <c r="D674" i="7"/>
  <c r="E674" i="7"/>
  <c r="L674" i="7"/>
  <c r="M674" i="7" s="1"/>
  <c r="D675" i="7"/>
  <c r="E675" i="7"/>
  <c r="L675" i="7"/>
  <c r="M675" i="7" s="1"/>
  <c r="M676" i="7"/>
  <c r="D677" i="7"/>
  <c r="E677" i="7"/>
  <c r="K677" i="7"/>
  <c r="M677" i="7" s="1"/>
  <c r="D678" i="7"/>
  <c r="E678" i="7"/>
  <c r="K678" i="7"/>
  <c r="M678" i="7" s="1"/>
  <c r="D679" i="7"/>
  <c r="E679" i="7" s="1"/>
  <c r="K679" i="7"/>
  <c r="M679" i="7" s="1"/>
  <c r="M680" i="7"/>
  <c r="D681" i="7"/>
  <c r="E681" i="7"/>
  <c r="L681" i="7"/>
  <c r="M681" i="7" s="1"/>
  <c r="D682" i="7"/>
  <c r="E682" i="7"/>
  <c r="K682" i="7"/>
  <c r="M682" i="7" s="1"/>
  <c r="D683" i="7"/>
  <c r="E683" i="7"/>
  <c r="L683" i="7"/>
  <c r="M683" i="7" s="1"/>
  <c r="D684" i="7"/>
  <c r="E684" i="7"/>
  <c r="K684" i="7"/>
  <c r="M684" i="7" s="1"/>
  <c r="D685" i="7"/>
  <c r="E685" i="7"/>
  <c r="L685" i="7"/>
  <c r="M685" i="7" s="1"/>
  <c r="D686" i="7"/>
  <c r="E686" i="7"/>
  <c r="K686" i="7"/>
  <c r="M686" i="7" s="1"/>
  <c r="D687" i="7"/>
  <c r="E687" i="7"/>
  <c r="L687" i="7"/>
  <c r="M687" i="7" s="1"/>
  <c r="D688" i="7"/>
  <c r="E688" i="7"/>
  <c r="K688" i="7"/>
  <c r="D689" i="7"/>
  <c r="E689" i="7"/>
  <c r="L689" i="7"/>
  <c r="M689" i="7" s="1"/>
  <c r="D690" i="7"/>
  <c r="E690" i="7"/>
  <c r="K690" i="7"/>
  <c r="M690" i="7" s="1"/>
  <c r="D691" i="7"/>
  <c r="E691" i="7"/>
  <c r="L691" i="7"/>
  <c r="M691" i="7" s="1"/>
  <c r="D692" i="7"/>
  <c r="E692" i="7"/>
  <c r="K692" i="7"/>
  <c r="M692" i="7" s="1"/>
  <c r="D693" i="7"/>
  <c r="E693" i="7"/>
  <c r="L693" i="7"/>
  <c r="M693" i="7" s="1"/>
  <c r="D694" i="7"/>
  <c r="E694" i="7"/>
  <c r="K694" i="7"/>
  <c r="M694" i="7" s="1"/>
  <c r="D695" i="7"/>
  <c r="E695" i="7"/>
  <c r="L695" i="7"/>
  <c r="M695" i="7" s="1"/>
  <c r="D696" i="7"/>
  <c r="E696" i="7"/>
  <c r="K696" i="7"/>
  <c r="M696" i="7" s="1"/>
  <c r="D697" i="7"/>
  <c r="E697" i="7"/>
  <c r="L697" i="7"/>
  <c r="M697" i="7" s="1"/>
  <c r="D698" i="7"/>
  <c r="E698" i="7"/>
  <c r="K698" i="7"/>
  <c r="M698" i="7" s="1"/>
  <c r="D699" i="7"/>
  <c r="E699" i="7"/>
  <c r="L699" i="7"/>
  <c r="M699" i="7" s="1"/>
  <c r="D700" i="7"/>
  <c r="E700" i="7"/>
  <c r="K700" i="7"/>
  <c r="M700" i="7" s="1"/>
  <c r="D701" i="7"/>
  <c r="E701" i="7"/>
  <c r="L701" i="7"/>
  <c r="M701" i="7" s="1"/>
  <c r="D702" i="7"/>
  <c r="E702" i="7"/>
  <c r="K702" i="7"/>
  <c r="M702" i="7" s="1"/>
  <c r="D703" i="7"/>
  <c r="E703" i="7"/>
  <c r="L703" i="7"/>
  <c r="M703" i="7" s="1"/>
  <c r="D704" i="7"/>
  <c r="E704" i="7"/>
  <c r="K704" i="7"/>
  <c r="M704" i="7" s="1"/>
  <c r="D705" i="7"/>
  <c r="E705" i="7"/>
  <c r="L705" i="7"/>
  <c r="M705" i="7" s="1"/>
  <c r="D706" i="7"/>
  <c r="E706" i="7"/>
  <c r="K706" i="7"/>
  <c r="M706" i="7" s="1"/>
  <c r="D707" i="7"/>
  <c r="E707" i="7"/>
  <c r="L707" i="7"/>
  <c r="M707" i="7" s="1"/>
  <c r="D708" i="7"/>
  <c r="E708" i="7"/>
  <c r="K708" i="7"/>
  <c r="M708" i="7" s="1"/>
  <c r="D709" i="7"/>
  <c r="E709" i="7"/>
  <c r="L709" i="7"/>
  <c r="M709" i="7" s="1"/>
  <c r="D710" i="7"/>
  <c r="E710" i="7"/>
  <c r="K710" i="7"/>
  <c r="M710" i="7" s="1"/>
  <c r="D711" i="7"/>
  <c r="E711" i="7"/>
  <c r="L711" i="7"/>
  <c r="M711" i="7" s="1"/>
  <c r="D712" i="7"/>
  <c r="E712" i="7"/>
  <c r="K712" i="7"/>
  <c r="M712" i="7" s="1"/>
  <c r="D713" i="7"/>
  <c r="E713" i="7"/>
  <c r="L713" i="7"/>
  <c r="M713" i="7" s="1"/>
  <c r="D714" i="7"/>
  <c r="E714" i="7"/>
  <c r="K714" i="7"/>
  <c r="M714" i="7" s="1"/>
  <c r="M715" i="7"/>
  <c r="D716" i="7"/>
  <c r="E716" i="7"/>
  <c r="I716" i="7"/>
  <c r="L716" i="7" s="1"/>
  <c r="D717" i="7"/>
  <c r="E717" i="7"/>
  <c r="K717" i="7"/>
  <c r="M717" i="7" s="1"/>
  <c r="D718" i="7"/>
  <c r="E718" i="7"/>
  <c r="L718" i="7"/>
  <c r="M718" i="7" s="1"/>
  <c r="D719" i="7"/>
  <c r="E719" i="7"/>
  <c r="K719" i="7"/>
  <c r="M719" i="7" s="1"/>
  <c r="D720" i="7"/>
  <c r="E720" i="7"/>
  <c r="L720" i="7"/>
  <c r="M720" i="7" s="1"/>
  <c r="D721" i="7"/>
  <c r="E721" i="7"/>
  <c r="K721" i="7"/>
  <c r="M721" i="7" s="1"/>
  <c r="D722" i="7"/>
  <c r="E722" i="7"/>
  <c r="L722" i="7"/>
  <c r="M722" i="7" s="1"/>
  <c r="D723" i="7"/>
  <c r="E723" i="7"/>
  <c r="K723" i="7"/>
  <c r="M723" i="7" s="1"/>
  <c r="D724" i="7"/>
  <c r="E724" i="7"/>
  <c r="L724" i="7"/>
  <c r="M724" i="7" s="1"/>
  <c r="D725" i="7"/>
  <c r="E725" i="7"/>
  <c r="K725" i="7"/>
  <c r="M725" i="7" s="1"/>
  <c r="D726" i="7"/>
  <c r="E726" i="7"/>
  <c r="L726" i="7"/>
  <c r="M726" i="7" s="1"/>
  <c r="D727" i="7"/>
  <c r="E727" i="7"/>
  <c r="K727" i="7"/>
  <c r="M727" i="7" s="1"/>
  <c r="D728" i="7"/>
  <c r="E728" i="7"/>
  <c r="L728" i="7"/>
  <c r="M728" i="7" s="1"/>
  <c r="D729" i="7"/>
  <c r="E729" i="7"/>
  <c r="K729" i="7"/>
  <c r="M729" i="7" s="1"/>
  <c r="D730" i="7"/>
  <c r="E730" i="7"/>
  <c r="L730" i="7"/>
  <c r="M730" i="7" s="1"/>
  <c r="D731" i="7"/>
  <c r="E731" i="7"/>
  <c r="K731" i="7"/>
  <c r="M731" i="7" s="1"/>
  <c r="D732" i="7"/>
  <c r="E732" i="7"/>
  <c r="L732" i="7"/>
  <c r="M732" i="7" s="1"/>
  <c r="D733" i="7"/>
  <c r="E733" i="7"/>
  <c r="K733" i="7"/>
  <c r="M733" i="7" s="1"/>
  <c r="D734" i="7"/>
  <c r="E734" i="7"/>
  <c r="L734" i="7"/>
  <c r="M734" i="7" s="1"/>
  <c r="D735" i="7"/>
  <c r="E735" i="7"/>
  <c r="K735" i="7"/>
  <c r="M735" i="7" s="1"/>
  <c r="D736" i="7"/>
  <c r="E736" i="7"/>
  <c r="L736" i="7"/>
  <c r="M736" i="7" s="1"/>
  <c r="D737" i="7"/>
  <c r="E737" i="7"/>
  <c r="K737" i="7"/>
  <c r="M737" i="7" s="1"/>
  <c r="D738" i="7"/>
  <c r="E738" i="7"/>
  <c r="L738" i="7"/>
  <c r="M738" i="7" s="1"/>
  <c r="D739" i="7"/>
  <c r="E739" i="7"/>
  <c r="K739" i="7"/>
  <c r="M739" i="7" s="1"/>
  <c r="D740" i="7"/>
  <c r="E740" i="7"/>
  <c r="L740" i="7"/>
  <c r="M740" i="7" s="1"/>
  <c r="D741" i="7"/>
  <c r="E741" i="7"/>
  <c r="L741" i="7"/>
  <c r="M741" i="7" s="1"/>
  <c r="E742" i="7"/>
  <c r="D742" i="7" s="1"/>
  <c r="K742" i="7"/>
  <c r="C743" i="7"/>
  <c r="D743" i="7"/>
  <c r="E743" i="7"/>
  <c r="I743" i="7"/>
  <c r="D744" i="7"/>
  <c r="E744" i="7"/>
  <c r="M744" i="7"/>
  <c r="M745" i="7"/>
  <c r="A748" i="7"/>
  <c r="D748" i="7"/>
  <c r="E748" i="7"/>
  <c r="M748" i="7"/>
  <c r="A749" i="7"/>
  <c r="D749" i="7"/>
  <c r="E749" i="7"/>
  <c r="M749" i="7"/>
  <c r="A750" i="7"/>
  <c r="A751" i="7" s="1"/>
  <c r="A752" i="7" s="1"/>
  <c r="A753" i="7" s="1"/>
  <c r="D750" i="7"/>
  <c r="E750" i="7"/>
  <c r="D751" i="7"/>
  <c r="E751" i="7"/>
  <c r="D752" i="7"/>
  <c r="E752" i="7"/>
  <c r="M752" i="7"/>
  <c r="D753" i="7"/>
  <c r="E753" i="7"/>
  <c r="C754" i="7"/>
  <c r="D754" i="7"/>
  <c r="E754" i="7"/>
  <c r="L754" i="7"/>
  <c r="D755" i="7"/>
  <c r="E755" i="7"/>
  <c r="H755" i="7"/>
  <c r="I755" i="7"/>
  <c r="J755" i="7"/>
  <c r="H756" i="7"/>
  <c r="I756" i="7"/>
  <c r="A496" i="9"/>
  <c r="D496" i="9"/>
  <c r="E496" i="9"/>
  <c r="A497" i="9"/>
  <c r="D497" i="9"/>
  <c r="E497" i="9"/>
  <c r="A498" i="9"/>
  <c r="D498" i="9"/>
  <c r="E498" i="9"/>
  <c r="A499" i="9"/>
  <c r="D499" i="9"/>
  <c r="E499" i="9"/>
  <c r="A500" i="9"/>
  <c r="D500" i="9"/>
  <c r="E500" i="9"/>
  <c r="A501" i="9"/>
  <c r="D501" i="9"/>
  <c r="E501" i="9"/>
  <c r="A502" i="9"/>
  <c r="D502" i="9"/>
  <c r="E502" i="9"/>
  <c r="A503" i="9"/>
  <c r="D503" i="9"/>
  <c r="E503" i="9"/>
  <c r="A504" i="9"/>
  <c r="D504" i="9"/>
  <c r="E504" i="9"/>
  <c r="A505" i="9"/>
  <c r="D505" i="9"/>
  <c r="E505" i="9"/>
  <c r="A506" i="9"/>
  <c r="D506" i="9"/>
  <c r="E506" i="9"/>
  <c r="A507" i="9"/>
  <c r="D507" i="9"/>
  <c r="E507" i="9"/>
  <c r="A508" i="9"/>
  <c r="D508" i="9"/>
  <c r="E508" i="9"/>
  <c r="A509" i="9"/>
  <c r="D509" i="9"/>
  <c r="E509" i="9"/>
  <c r="A510" i="9"/>
  <c r="D510" i="9"/>
  <c r="E510" i="9"/>
  <c r="A511" i="9"/>
  <c r="D511" i="9"/>
  <c r="E511" i="9"/>
  <c r="A512" i="9"/>
  <c r="D512" i="9"/>
  <c r="E512" i="9"/>
  <c r="A513" i="9"/>
  <c r="D513" i="9"/>
  <c r="E513" i="9"/>
  <c r="A514" i="9"/>
  <c r="D514" i="9"/>
  <c r="E514" i="9"/>
  <c r="A515" i="9"/>
  <c r="D515" i="9"/>
  <c r="E515" i="9"/>
  <c r="A521" i="9"/>
  <c r="D521" i="9"/>
  <c r="E521" i="9"/>
  <c r="A522" i="9"/>
  <c r="D522" i="9"/>
  <c r="E522" i="9"/>
  <c r="A523" i="9"/>
  <c r="D523" i="9"/>
  <c r="E523" i="9"/>
  <c r="A524" i="9"/>
  <c r="D524" i="9"/>
  <c r="E524" i="9"/>
  <c r="A525" i="9"/>
  <c r="D525" i="9"/>
  <c r="E525" i="9"/>
  <c r="A526" i="9"/>
  <c r="D526" i="9"/>
  <c r="E526" i="9"/>
  <c r="A527" i="9"/>
  <c r="D527" i="9"/>
  <c r="E527" i="9"/>
  <c r="A528" i="9"/>
  <c r="D528" i="9"/>
  <c r="E528" i="9"/>
  <c r="A529" i="9"/>
  <c r="D529" i="9"/>
  <c r="E529" i="9"/>
  <c r="A530" i="9"/>
  <c r="D530" i="9"/>
  <c r="E530" i="9"/>
  <c r="A531" i="9"/>
  <c r="D531" i="9"/>
  <c r="E531" i="9"/>
  <c r="A532" i="9"/>
  <c r="D532" i="9"/>
  <c r="E532" i="9"/>
  <c r="A537" i="9"/>
  <c r="D537" i="9"/>
  <c r="E537" i="9"/>
  <c r="A538" i="9"/>
  <c r="D538" i="9"/>
  <c r="E538" i="9"/>
  <c r="A539" i="9"/>
  <c r="D539" i="9"/>
  <c r="E539" i="9"/>
  <c r="A540" i="9"/>
  <c r="D540" i="9"/>
  <c r="E540" i="9"/>
  <c r="A541" i="9"/>
  <c r="D541" i="9"/>
  <c r="E541" i="9"/>
  <c r="A542" i="9"/>
  <c r="D542" i="9"/>
  <c r="E542" i="9"/>
  <c r="A543" i="9"/>
  <c r="D543" i="9"/>
  <c r="E543" i="9"/>
  <c r="A544" i="9"/>
  <c r="D544" i="9"/>
  <c r="E544" i="9"/>
  <c r="A549" i="9"/>
  <c r="D549" i="9"/>
  <c r="E549" i="9"/>
  <c r="A550" i="9"/>
  <c r="D550" i="9"/>
  <c r="E550" i="9"/>
  <c r="A551" i="9"/>
  <c r="D551" i="9"/>
  <c r="E551" i="9"/>
  <c r="A552" i="9"/>
  <c r="D552" i="9"/>
  <c r="E552" i="9"/>
  <c r="A553" i="9"/>
  <c r="D553" i="9"/>
  <c r="E553" i="9"/>
  <c r="A554" i="9"/>
  <c r="D554" i="9"/>
  <c r="E554" i="9"/>
  <c r="A555" i="9"/>
  <c r="D555" i="9"/>
  <c r="E555" i="9"/>
  <c r="E564" i="9"/>
  <c r="L564" i="9"/>
  <c r="M564" i="9"/>
  <c r="E565" i="9"/>
  <c r="N565" i="9" s="1"/>
  <c r="H565" i="9"/>
  <c r="J565" i="9"/>
  <c r="P565" i="9"/>
  <c r="D569" i="9"/>
  <c r="E569" i="9"/>
  <c r="H569" i="9"/>
  <c r="I569" i="9"/>
  <c r="J569" i="9"/>
  <c r="D570" i="9"/>
  <c r="E570" i="9"/>
  <c r="H570" i="9"/>
  <c r="I570" i="9"/>
  <c r="J570" i="9"/>
  <c r="D571" i="9"/>
  <c r="E571" i="9"/>
  <c r="M571" i="9"/>
  <c r="D572" i="9"/>
  <c r="E572" i="9"/>
  <c r="H572" i="9"/>
  <c r="I572" i="9"/>
  <c r="J572" i="9"/>
  <c r="E573" i="9"/>
  <c r="D573" i="9" s="1"/>
  <c r="H573" i="9"/>
  <c r="J573" i="9"/>
  <c r="E574" i="9"/>
  <c r="D574" i="9" s="1"/>
  <c r="H574" i="9"/>
  <c r="J574" i="9"/>
  <c r="D575" i="9"/>
  <c r="E575" i="9"/>
  <c r="H575" i="9"/>
  <c r="I575" i="9"/>
  <c r="J575" i="9"/>
  <c r="D576" i="9"/>
  <c r="E576" i="9"/>
  <c r="H576" i="9"/>
  <c r="J576" i="9"/>
  <c r="D577" i="9"/>
  <c r="E577" i="9"/>
  <c r="H577" i="9"/>
  <c r="J577" i="9"/>
  <c r="E578" i="9"/>
  <c r="D578" i="9" s="1"/>
  <c r="H578" i="9"/>
  <c r="J578" i="9"/>
  <c r="E579" i="9"/>
  <c r="D579" i="9" s="1"/>
  <c r="H579" i="9"/>
  <c r="J579" i="9"/>
  <c r="D580" i="9"/>
  <c r="E580" i="9"/>
  <c r="H580" i="9"/>
  <c r="I580" i="9"/>
  <c r="J580" i="9"/>
  <c r="D581" i="9"/>
  <c r="E581" i="9"/>
  <c r="H581" i="9"/>
  <c r="I581" i="9"/>
  <c r="J581" i="9"/>
  <c r="D582" i="9"/>
  <c r="E582" i="9"/>
  <c r="H582" i="9"/>
  <c r="I582" i="9"/>
  <c r="J582" i="9"/>
  <c r="M586" i="9"/>
  <c r="D587" i="9"/>
  <c r="E587" i="9"/>
  <c r="H587" i="9"/>
  <c r="I587" i="9"/>
  <c r="J587" i="9"/>
  <c r="D588" i="9"/>
  <c r="E588" i="9"/>
  <c r="H588" i="9"/>
  <c r="I588" i="9"/>
  <c r="J588" i="9"/>
  <c r="D589" i="9"/>
  <c r="E589" i="9"/>
  <c r="H589" i="9"/>
  <c r="I589" i="9"/>
  <c r="J589" i="9"/>
  <c r="D590" i="9"/>
  <c r="E590" i="9"/>
  <c r="H590" i="9"/>
  <c r="J590" i="9"/>
  <c r="D591" i="9"/>
  <c r="E591" i="9"/>
  <c r="H591" i="9"/>
  <c r="I591" i="9"/>
  <c r="J591" i="9"/>
  <c r="M596" i="9"/>
  <c r="D597" i="9"/>
  <c r="E597" i="9"/>
  <c r="H597" i="9"/>
  <c r="I597" i="9"/>
  <c r="J597" i="9"/>
  <c r="D598" i="9"/>
  <c r="E598" i="9"/>
  <c r="H598" i="9"/>
  <c r="I598" i="9"/>
  <c r="J598" i="9"/>
  <c r="D599" i="9"/>
  <c r="E599" i="9"/>
  <c r="H599" i="9"/>
  <c r="J599" i="9"/>
  <c r="D600" i="9"/>
  <c r="E600" i="9"/>
  <c r="H600" i="9"/>
  <c r="I600" i="9"/>
  <c r="J600" i="9"/>
  <c r="D601" i="9"/>
  <c r="E601" i="9"/>
  <c r="H601" i="9"/>
  <c r="I601" i="9"/>
  <c r="J601" i="9"/>
  <c r="D602" i="9"/>
  <c r="E602" i="9"/>
  <c r="H602" i="9"/>
  <c r="I602" i="9"/>
  <c r="J602" i="9"/>
  <c r="D603" i="9"/>
  <c r="E603" i="9"/>
  <c r="H603" i="9"/>
  <c r="J603" i="9"/>
  <c r="D604" i="9"/>
  <c r="E604" i="9"/>
  <c r="H604" i="9"/>
  <c r="J604" i="9"/>
  <c r="M606" i="9"/>
  <c r="D607" i="9"/>
  <c r="E607" i="9"/>
  <c r="H607" i="9"/>
  <c r="I607" i="9"/>
  <c r="J607" i="9"/>
  <c r="E608" i="9"/>
  <c r="D608" i="9" s="1"/>
  <c r="H608" i="9"/>
  <c r="J608" i="9"/>
  <c r="D609" i="9"/>
  <c r="E609" i="9"/>
  <c r="H609" i="9"/>
  <c r="J609" i="9"/>
  <c r="D610" i="9"/>
  <c r="E610" i="9"/>
  <c r="H610" i="9"/>
  <c r="I610" i="9"/>
  <c r="J610" i="9"/>
  <c r="D611" i="9"/>
  <c r="E611" i="9"/>
  <c r="H611" i="9"/>
  <c r="I611" i="9"/>
  <c r="J611" i="9"/>
  <c r="D612" i="9"/>
  <c r="E612" i="9"/>
  <c r="H612" i="9"/>
  <c r="K612" i="9" s="1"/>
  <c r="M612" i="9" s="1"/>
  <c r="D613" i="9"/>
  <c r="E613" i="9"/>
  <c r="H613" i="9"/>
  <c r="J613" i="9"/>
  <c r="D614" i="9"/>
  <c r="E614" i="9"/>
  <c r="H614" i="9"/>
  <c r="J614" i="9"/>
  <c r="D615" i="9"/>
  <c r="E615" i="9"/>
  <c r="H615" i="9"/>
  <c r="I615" i="9"/>
  <c r="J615" i="9"/>
  <c r="D616" i="9"/>
  <c r="E616" i="9"/>
  <c r="H616" i="9"/>
  <c r="J616" i="9"/>
  <c r="D617" i="9"/>
  <c r="E617" i="9"/>
  <c r="H617" i="9"/>
  <c r="J617" i="9"/>
  <c r="D618" i="9"/>
  <c r="E618" i="9"/>
  <c r="H618" i="9"/>
  <c r="J618" i="9"/>
  <c r="D619" i="9"/>
  <c r="E619" i="9"/>
  <c r="H619" i="9"/>
  <c r="I619" i="9"/>
  <c r="D620" i="9"/>
  <c r="E620" i="9"/>
  <c r="H620" i="9"/>
  <c r="I620" i="9"/>
  <c r="J620" i="9"/>
  <c r="D621" i="9"/>
  <c r="E621" i="9"/>
  <c r="H621" i="9"/>
  <c r="I621" i="9"/>
  <c r="J621" i="9"/>
  <c r="D622" i="9"/>
  <c r="E622" i="9"/>
  <c r="H622" i="9"/>
  <c r="I622" i="9"/>
  <c r="J622" i="9"/>
  <c r="D623" i="9"/>
  <c r="E623" i="9"/>
  <c r="H623" i="9"/>
  <c r="I623" i="9"/>
  <c r="J623" i="9"/>
  <c r="D624" i="9"/>
  <c r="E624" i="9"/>
  <c r="H624" i="9"/>
  <c r="J624" i="9"/>
  <c r="M625" i="9"/>
  <c r="M626" i="9"/>
  <c r="D627" i="9"/>
  <c r="E627" i="9"/>
  <c r="H627" i="9"/>
  <c r="I627" i="9"/>
  <c r="J627" i="9"/>
  <c r="D628" i="9"/>
  <c r="E628" i="9"/>
  <c r="H628" i="9"/>
  <c r="I628" i="9"/>
  <c r="J628" i="9"/>
  <c r="D629" i="9"/>
  <c r="E629" i="9"/>
  <c r="H629" i="9"/>
  <c r="J629" i="9"/>
  <c r="D630" i="9"/>
  <c r="E630" i="9"/>
  <c r="M630" i="9"/>
  <c r="D631" i="9"/>
  <c r="E631" i="9"/>
  <c r="H631" i="9"/>
  <c r="I631" i="9"/>
  <c r="J631" i="9"/>
  <c r="M632" i="9"/>
  <c r="M633" i="9"/>
  <c r="M636" i="9"/>
  <c r="D637" i="9"/>
  <c r="E637" i="9"/>
  <c r="H637" i="9"/>
  <c r="I637" i="9"/>
  <c r="J637" i="9"/>
  <c r="D638" i="9"/>
  <c r="E638" i="9"/>
  <c r="H638" i="9"/>
  <c r="J638" i="9"/>
  <c r="D639" i="9"/>
  <c r="E639" i="9"/>
  <c r="H639" i="9"/>
  <c r="I639" i="9"/>
  <c r="J639" i="9"/>
  <c r="D640" i="9"/>
  <c r="E640" i="9"/>
  <c r="H640" i="9"/>
  <c r="I640" i="9"/>
  <c r="J640" i="9"/>
  <c r="D641" i="9"/>
  <c r="E641" i="9"/>
  <c r="H641" i="9"/>
  <c r="I641" i="9"/>
  <c r="D642" i="9"/>
  <c r="E642" i="9"/>
  <c r="H642" i="9"/>
  <c r="J642" i="9"/>
  <c r="D643" i="9"/>
  <c r="E643" i="9"/>
  <c r="H643" i="9"/>
  <c r="I643" i="9"/>
  <c r="J643" i="9"/>
  <c r="D644" i="9"/>
  <c r="E644" i="9"/>
  <c r="H644" i="9"/>
  <c r="I644" i="9"/>
  <c r="J644" i="9"/>
  <c r="D645" i="9"/>
  <c r="E645" i="9"/>
  <c r="H645" i="9"/>
  <c r="L645" i="9" s="1"/>
  <c r="E646" i="9"/>
  <c r="D646" i="9" s="1"/>
  <c r="H646" i="9"/>
  <c r="J646" i="9"/>
  <c r="D647" i="9"/>
  <c r="E647" i="9"/>
  <c r="H647" i="9"/>
  <c r="I647" i="9"/>
  <c r="J647" i="9"/>
  <c r="M656" i="9"/>
  <c r="D657" i="9"/>
  <c r="E657" i="9"/>
  <c r="H657" i="9"/>
  <c r="I657" i="9"/>
  <c r="J657" i="9"/>
  <c r="D658" i="9"/>
  <c r="E658" i="9"/>
  <c r="H658" i="9"/>
  <c r="I658" i="9"/>
  <c r="J658" i="9"/>
  <c r="D659" i="9"/>
  <c r="E659" i="9"/>
  <c r="H659" i="9"/>
  <c r="J659" i="9"/>
  <c r="D660" i="9"/>
  <c r="E660" i="9"/>
  <c r="H660" i="9"/>
  <c r="J660" i="9"/>
  <c r="D661" i="9"/>
  <c r="E661" i="9"/>
  <c r="H661" i="9"/>
  <c r="J661" i="9"/>
  <c r="D662" i="9"/>
  <c r="E662" i="9"/>
  <c r="H662" i="9"/>
  <c r="I662" i="9"/>
  <c r="J662" i="9"/>
  <c r="D663" i="9"/>
  <c r="E663" i="9"/>
  <c r="H663" i="9"/>
  <c r="J663" i="9"/>
  <c r="D664" i="9"/>
  <c r="E664" i="9"/>
  <c r="H664" i="9"/>
  <c r="I664" i="9"/>
  <c r="J664" i="9"/>
  <c r="D665" i="9"/>
  <c r="E665" i="9"/>
  <c r="H665" i="9"/>
  <c r="J665" i="9"/>
  <c r="D666" i="9"/>
  <c r="E666" i="9"/>
  <c r="H666" i="9"/>
  <c r="J666" i="9"/>
  <c r="D667" i="9"/>
  <c r="E667" i="9"/>
  <c r="H667" i="9"/>
  <c r="J667" i="9"/>
  <c r="D668" i="9"/>
  <c r="E668" i="9"/>
  <c r="H668" i="9"/>
  <c r="J668" i="9"/>
  <c r="M669" i="9"/>
  <c r="M670" i="9"/>
  <c r="M671" i="9"/>
  <c r="M672" i="9"/>
  <c r="M673" i="9"/>
  <c r="M674" i="9"/>
  <c r="M675" i="9"/>
  <c r="M676" i="9"/>
  <c r="A677" i="9"/>
  <c r="A678" i="9" s="1"/>
  <c r="A679" i="9" s="1"/>
  <c r="A680" i="9" s="1"/>
  <c r="A681" i="9" s="1"/>
  <c r="A682" i="9" s="1"/>
  <c r="A683" i="9" s="1"/>
  <c r="A684" i="9" s="1"/>
  <c r="D677" i="9"/>
  <c r="E677" i="9"/>
  <c r="H677" i="9"/>
  <c r="I677" i="9"/>
  <c r="J677" i="9"/>
  <c r="D678" i="9"/>
  <c r="E678" i="9"/>
  <c r="H678" i="9"/>
  <c r="I678" i="9"/>
  <c r="J678" i="9"/>
  <c r="D679" i="9"/>
  <c r="E679" i="9"/>
  <c r="H679" i="9"/>
  <c r="I679" i="9"/>
  <c r="J679" i="9"/>
  <c r="D680" i="9"/>
  <c r="E680" i="9"/>
  <c r="H680" i="9"/>
  <c r="I680" i="9"/>
  <c r="D681" i="9"/>
  <c r="E681" i="9"/>
  <c r="H681" i="9"/>
  <c r="I681" i="9"/>
  <c r="D682" i="9"/>
  <c r="E682" i="9"/>
  <c r="H682" i="9"/>
  <c r="I682" i="9"/>
  <c r="D683" i="9"/>
  <c r="E683" i="9"/>
  <c r="H683" i="9"/>
  <c r="I683" i="9"/>
  <c r="J683" i="9"/>
  <c r="D684" i="9"/>
  <c r="E684" i="9"/>
  <c r="H684" i="9"/>
  <c r="I684" i="9"/>
  <c r="J684" i="9"/>
  <c r="M685" i="9"/>
  <c r="C686" i="9"/>
  <c r="D686" i="9"/>
  <c r="E686" i="9"/>
  <c r="H686" i="9"/>
  <c r="I686" i="9"/>
  <c r="J686" i="9"/>
  <c r="D687" i="9"/>
  <c r="E687" i="9"/>
  <c r="H687" i="9"/>
  <c r="K687" i="9"/>
  <c r="D688" i="9"/>
  <c r="E688" i="9"/>
  <c r="H689" i="9"/>
  <c r="M690" i="9"/>
  <c r="M691" i="9"/>
  <c r="M692" i="9"/>
  <c r="D695" i="9"/>
  <c r="E695" i="9"/>
  <c r="K695" i="9"/>
  <c r="M695" i="9" s="1"/>
  <c r="M696" i="9"/>
  <c r="D697" i="9"/>
  <c r="E697" i="9"/>
  <c r="K697" i="9"/>
  <c r="M697" i="9" s="1"/>
  <c r="E698" i="9"/>
  <c r="D698" i="9" s="1"/>
  <c r="K698" i="9"/>
  <c r="M698" i="9" s="1"/>
  <c r="D699" i="9"/>
  <c r="E699" i="9"/>
  <c r="K699" i="9"/>
  <c r="M699" i="9" s="1"/>
  <c r="D700" i="9"/>
  <c r="E700" i="9"/>
  <c r="K700" i="9"/>
  <c r="M700" i="9" s="1"/>
  <c r="D701" i="9"/>
  <c r="E701" i="9"/>
  <c r="K701" i="9"/>
  <c r="M701" i="9" s="1"/>
  <c r="D702" i="9"/>
  <c r="E702" i="9"/>
  <c r="M702" i="9"/>
  <c r="M704" i="9"/>
  <c r="D705" i="9"/>
  <c r="E705" i="9"/>
  <c r="K705" i="9"/>
  <c r="M705" i="9" s="1"/>
  <c r="D706" i="9"/>
  <c r="E706" i="9"/>
  <c r="K706" i="9"/>
  <c r="M706" i="9" s="1"/>
  <c r="E707" i="9"/>
  <c r="D707" i="9" s="1"/>
  <c r="K707" i="9"/>
  <c r="M707" i="9" s="1"/>
  <c r="E708" i="9"/>
  <c r="D708" i="9" s="1"/>
  <c r="K708" i="9"/>
  <c r="M708" i="9" s="1"/>
  <c r="E709" i="9"/>
  <c r="D709" i="9" s="1"/>
  <c r="K709" i="9"/>
  <c r="M709" i="9" s="1"/>
  <c r="E710" i="9"/>
  <c r="D710" i="9" s="1"/>
  <c r="K710" i="9"/>
  <c r="M710" i="9" s="1"/>
  <c r="D711" i="9"/>
  <c r="E711" i="9"/>
  <c r="K711" i="9"/>
  <c r="M711" i="9" s="1"/>
  <c r="D712" i="9"/>
  <c r="E712" i="9"/>
  <c r="K712" i="9"/>
  <c r="M712" i="9" s="1"/>
  <c r="D713" i="9"/>
  <c r="E713" i="9"/>
  <c r="L713" i="9"/>
  <c r="M713" i="9" s="1"/>
  <c r="D714" i="9"/>
  <c r="E714" i="9"/>
  <c r="L714" i="9"/>
  <c r="M714" i="9" s="1"/>
  <c r="M715" i="9"/>
  <c r="D716" i="9"/>
  <c r="E716" i="9"/>
  <c r="K716" i="9"/>
  <c r="M716" i="9" s="1"/>
  <c r="D717" i="9"/>
  <c r="E717" i="9"/>
  <c r="K717" i="9"/>
  <c r="M717" i="9" s="1"/>
  <c r="D718" i="9"/>
  <c r="E718" i="9" s="1"/>
  <c r="K718" i="9"/>
  <c r="M718" i="9" s="1"/>
  <c r="M719" i="9"/>
  <c r="D720" i="9"/>
  <c r="E720" i="9"/>
  <c r="L720" i="9"/>
  <c r="M720" i="9" s="1"/>
  <c r="D721" i="9"/>
  <c r="E721" i="9"/>
  <c r="K721" i="9"/>
  <c r="M721" i="9" s="1"/>
  <c r="D722" i="9"/>
  <c r="E722" i="9"/>
  <c r="L722" i="9"/>
  <c r="M722" i="9" s="1"/>
  <c r="D723" i="9"/>
  <c r="E723" i="9"/>
  <c r="K723" i="9"/>
  <c r="M723" i="9" s="1"/>
  <c r="D724" i="9"/>
  <c r="E724" i="9"/>
  <c r="L724" i="9"/>
  <c r="M724" i="9" s="1"/>
  <c r="D725" i="9"/>
  <c r="E725" i="9"/>
  <c r="K725" i="9"/>
  <c r="M725" i="9" s="1"/>
  <c r="D726" i="9"/>
  <c r="E726" i="9"/>
  <c r="L726" i="9"/>
  <c r="M726" i="9" s="1"/>
  <c r="D727" i="9"/>
  <c r="E727" i="9"/>
  <c r="K727" i="9"/>
  <c r="M727" i="9" s="1"/>
  <c r="D728" i="9"/>
  <c r="E728" i="9"/>
  <c r="L728" i="9"/>
  <c r="M728" i="9" s="1"/>
  <c r="D729" i="9"/>
  <c r="E729" i="9"/>
  <c r="K729" i="9"/>
  <c r="M729" i="9" s="1"/>
  <c r="D730" i="9"/>
  <c r="E730" i="9"/>
  <c r="L730" i="9"/>
  <c r="M730" i="9" s="1"/>
  <c r="D731" i="9"/>
  <c r="E731" i="9"/>
  <c r="K731" i="9"/>
  <c r="M731" i="9" s="1"/>
  <c r="D732" i="9"/>
  <c r="E732" i="9"/>
  <c r="L732" i="9"/>
  <c r="M732" i="9" s="1"/>
  <c r="D733" i="9"/>
  <c r="E733" i="9"/>
  <c r="K733" i="9"/>
  <c r="M733" i="9" s="1"/>
  <c r="D734" i="9"/>
  <c r="E734" i="9"/>
  <c r="L734" i="9"/>
  <c r="M734" i="9" s="1"/>
  <c r="D735" i="9"/>
  <c r="E735" i="9"/>
  <c r="K735" i="9"/>
  <c r="M735" i="9" s="1"/>
  <c r="D736" i="9"/>
  <c r="E736" i="9"/>
  <c r="L736" i="9"/>
  <c r="M736" i="9" s="1"/>
  <c r="D737" i="9"/>
  <c r="E737" i="9"/>
  <c r="K737" i="9"/>
  <c r="M737" i="9" s="1"/>
  <c r="D738" i="9"/>
  <c r="E738" i="9"/>
  <c r="L738" i="9"/>
  <c r="M738" i="9" s="1"/>
  <c r="D739" i="9"/>
  <c r="E739" i="9"/>
  <c r="K739" i="9"/>
  <c r="M739" i="9" s="1"/>
  <c r="D740" i="9"/>
  <c r="E740" i="9"/>
  <c r="L740" i="9"/>
  <c r="M740" i="9" s="1"/>
  <c r="D741" i="9"/>
  <c r="E741" i="9"/>
  <c r="K741" i="9"/>
  <c r="M741" i="9" s="1"/>
  <c r="D742" i="9"/>
  <c r="E742" i="9"/>
  <c r="L742" i="9"/>
  <c r="M742" i="9" s="1"/>
  <c r="D743" i="9"/>
  <c r="E743" i="9"/>
  <c r="K743" i="9"/>
  <c r="M743" i="9" s="1"/>
  <c r="D744" i="9"/>
  <c r="E744" i="9"/>
  <c r="L744" i="9"/>
  <c r="M744" i="9" s="1"/>
  <c r="D745" i="9"/>
  <c r="E745" i="9"/>
  <c r="K745" i="9"/>
  <c r="M745" i="9" s="1"/>
  <c r="D746" i="9"/>
  <c r="E746" i="9"/>
  <c r="L746" i="9"/>
  <c r="M746" i="9" s="1"/>
  <c r="D747" i="9"/>
  <c r="E747" i="9"/>
  <c r="K747" i="9"/>
  <c r="M747" i="9" s="1"/>
  <c r="D748" i="9"/>
  <c r="E748" i="9"/>
  <c r="L748" i="9"/>
  <c r="M748" i="9" s="1"/>
  <c r="D749" i="9"/>
  <c r="E749" i="9"/>
  <c r="K749" i="9"/>
  <c r="M749" i="9" s="1"/>
  <c r="D750" i="9"/>
  <c r="E750" i="9"/>
  <c r="L750" i="9"/>
  <c r="M750" i="9" s="1"/>
  <c r="D751" i="9"/>
  <c r="E751" i="9"/>
  <c r="K751" i="9"/>
  <c r="M751" i="9" s="1"/>
  <c r="D752" i="9"/>
  <c r="E752" i="9"/>
  <c r="L752" i="9"/>
  <c r="M752" i="9" s="1"/>
  <c r="D753" i="9"/>
  <c r="E753" i="9"/>
  <c r="K753" i="9"/>
  <c r="M753" i="9" s="1"/>
  <c r="M754" i="9"/>
  <c r="D755" i="9"/>
  <c r="E755" i="9"/>
  <c r="I755" i="9"/>
  <c r="L755" i="9" s="1"/>
  <c r="D756" i="9"/>
  <c r="E756" i="9"/>
  <c r="K756" i="9"/>
  <c r="M756" i="9" s="1"/>
  <c r="D757" i="9"/>
  <c r="E757" i="9"/>
  <c r="L757" i="9"/>
  <c r="M757" i="9" s="1"/>
  <c r="D758" i="9"/>
  <c r="E758" i="9"/>
  <c r="K758" i="9"/>
  <c r="M758" i="9" s="1"/>
  <c r="D759" i="9"/>
  <c r="E759" i="9"/>
  <c r="L759" i="9"/>
  <c r="M759" i="9" s="1"/>
  <c r="D760" i="9"/>
  <c r="E760" i="9"/>
  <c r="K760" i="9"/>
  <c r="M760" i="9" s="1"/>
  <c r="D761" i="9"/>
  <c r="E761" i="9"/>
  <c r="L761" i="9"/>
  <c r="M761" i="9" s="1"/>
  <c r="D762" i="9"/>
  <c r="E762" i="9"/>
  <c r="K762" i="9"/>
  <c r="M762" i="9" s="1"/>
  <c r="D763" i="9"/>
  <c r="E763" i="9"/>
  <c r="L763" i="9"/>
  <c r="M763" i="9" s="1"/>
  <c r="D764" i="9"/>
  <c r="E764" i="9"/>
  <c r="K764" i="9"/>
  <c r="M764" i="9" s="1"/>
  <c r="D765" i="9"/>
  <c r="E765" i="9"/>
  <c r="L765" i="9"/>
  <c r="M765" i="9" s="1"/>
  <c r="D766" i="9"/>
  <c r="E766" i="9"/>
  <c r="K766" i="9"/>
  <c r="M766" i="9" s="1"/>
  <c r="D767" i="9"/>
  <c r="E767" i="9"/>
  <c r="L767" i="9"/>
  <c r="M767" i="9" s="1"/>
  <c r="D768" i="9"/>
  <c r="E768" i="9"/>
  <c r="K768" i="9"/>
  <c r="M768" i="9" s="1"/>
  <c r="D769" i="9"/>
  <c r="E769" i="9"/>
  <c r="L769" i="9"/>
  <c r="M769" i="9" s="1"/>
  <c r="D770" i="9"/>
  <c r="E770" i="9"/>
  <c r="K770" i="9"/>
  <c r="M770" i="9" s="1"/>
  <c r="D771" i="9"/>
  <c r="E771" i="9"/>
  <c r="L771" i="9"/>
  <c r="M771" i="9" s="1"/>
  <c r="D772" i="9"/>
  <c r="E772" i="9"/>
  <c r="K772" i="9"/>
  <c r="M772" i="9" s="1"/>
  <c r="D773" i="9"/>
  <c r="E773" i="9"/>
  <c r="L773" i="9"/>
  <c r="M773" i="9" s="1"/>
  <c r="D774" i="9"/>
  <c r="E774" i="9"/>
  <c r="K774" i="9"/>
  <c r="M774" i="9" s="1"/>
  <c r="D775" i="9"/>
  <c r="E775" i="9"/>
  <c r="L775" i="9"/>
  <c r="M775" i="9" s="1"/>
  <c r="D776" i="9"/>
  <c r="E776" i="9"/>
  <c r="K776" i="9"/>
  <c r="M776" i="9" s="1"/>
  <c r="D777" i="9"/>
  <c r="E777" i="9"/>
  <c r="L777" i="9"/>
  <c r="M777" i="9" s="1"/>
  <c r="D778" i="9"/>
  <c r="E778" i="9"/>
  <c r="K778" i="9"/>
  <c r="M778" i="9" s="1"/>
  <c r="D779" i="9"/>
  <c r="E779" i="9"/>
  <c r="L779" i="9"/>
  <c r="M779" i="9" s="1"/>
  <c r="D780" i="9"/>
  <c r="E780" i="9"/>
  <c r="L780" i="9"/>
  <c r="M780" i="9" s="1"/>
  <c r="E781" i="9"/>
  <c r="D781" i="9" s="1"/>
  <c r="K781" i="9"/>
  <c r="C782" i="9"/>
  <c r="D782" i="9"/>
  <c r="E782" i="9"/>
  <c r="I782" i="9"/>
  <c r="D783" i="9"/>
  <c r="E783" i="9"/>
  <c r="M783" i="9"/>
  <c r="M784" i="9"/>
  <c r="A787" i="9"/>
  <c r="D787" i="9"/>
  <c r="E787" i="9"/>
  <c r="M787" i="9"/>
  <c r="A788" i="9"/>
  <c r="A789" i="9" s="1"/>
  <c r="A790" i="9" s="1"/>
  <c r="A791" i="9" s="1"/>
  <c r="A792" i="9" s="1"/>
  <c r="D788" i="9"/>
  <c r="E788" i="9"/>
  <c r="M788" i="9"/>
  <c r="D789" i="9"/>
  <c r="E789" i="9"/>
  <c r="D790" i="9"/>
  <c r="E790" i="9"/>
  <c r="D791" i="9"/>
  <c r="E791" i="9"/>
  <c r="M791" i="9"/>
  <c r="D792" i="9"/>
  <c r="E792" i="9"/>
  <c r="C793" i="9"/>
  <c r="D793" i="9"/>
  <c r="E793" i="9"/>
  <c r="L793" i="9"/>
  <c r="D794" i="9"/>
  <c r="E794" i="9"/>
  <c r="H794" i="9"/>
  <c r="I794" i="9"/>
  <c r="J794" i="9"/>
  <c r="H795" i="9"/>
  <c r="I795" i="9"/>
  <c r="L538" i="7" l="1"/>
  <c r="L483" i="7"/>
  <c r="L470" i="7"/>
  <c r="M502" i="7"/>
  <c r="M469" i="7"/>
  <c r="L519" i="6"/>
  <c r="M523" i="4"/>
  <c r="K533" i="7"/>
  <c r="K647" i="7" s="1"/>
  <c r="M531" i="7"/>
  <c r="L508" i="6"/>
  <c r="L504" i="7"/>
  <c r="L500" i="7"/>
  <c r="M489" i="7"/>
  <c r="M485" i="7"/>
  <c r="L760" i="6"/>
  <c r="L630" i="6"/>
  <c r="L611" i="6"/>
  <c r="K611" i="6" s="1"/>
  <c r="M611" i="6" s="1"/>
  <c r="K573" i="6"/>
  <c r="M573" i="6" s="1"/>
  <c r="L572" i="6"/>
  <c r="M572" i="6" s="1"/>
  <c r="L567" i="6"/>
  <c r="M567" i="6" s="1"/>
  <c r="M554" i="6"/>
  <c r="M518" i="6"/>
  <c r="L517" i="6"/>
  <c r="M514" i="6"/>
  <c r="M513" i="6"/>
  <c r="M495" i="6"/>
  <c r="M487" i="6"/>
  <c r="M480" i="4"/>
  <c r="M464" i="4"/>
  <c r="M515" i="9"/>
  <c r="L525" i="9"/>
  <c r="L504" i="9"/>
  <c r="M551" i="9"/>
  <c r="M531" i="9"/>
  <c r="M527" i="9"/>
  <c r="M523" i="9"/>
  <c r="J746" i="4"/>
  <c r="J742" i="4"/>
  <c r="J738" i="4"/>
  <c r="I709" i="4"/>
  <c r="I736" i="4"/>
  <c r="I732" i="4"/>
  <c r="I728" i="4"/>
  <c r="I724" i="4"/>
  <c r="J721" i="4"/>
  <c r="J717" i="4"/>
  <c r="J713" i="4"/>
  <c r="J697" i="4"/>
  <c r="H483" i="4"/>
  <c r="L483" i="4" s="1"/>
  <c r="M482" i="4"/>
  <c r="H479" i="4"/>
  <c r="L479" i="4" s="1"/>
  <c r="H475" i="4"/>
  <c r="L475" i="4" s="1"/>
  <c r="M474" i="4"/>
  <c r="F471" i="4"/>
  <c r="H744" i="4"/>
  <c r="J737" i="4"/>
  <c r="J736" i="4"/>
  <c r="J732" i="4"/>
  <c r="J728" i="4"/>
  <c r="J724" i="4"/>
  <c r="I707" i="4"/>
  <c r="I746" i="4"/>
  <c r="I742" i="4"/>
  <c r="I738" i="4"/>
  <c r="I734" i="4"/>
  <c r="I730" i="4"/>
  <c r="J719" i="4"/>
  <c r="J707" i="4"/>
  <c r="J704" i="4"/>
  <c r="J699" i="4"/>
  <c r="J695" i="4"/>
  <c r="J669" i="4"/>
  <c r="D666" i="4"/>
  <c r="D546" i="4"/>
  <c r="H546" i="4" s="1"/>
  <c r="L496" i="6"/>
  <c r="L488" i="6"/>
  <c r="M476" i="6"/>
  <c r="M460" i="6"/>
  <c r="K754" i="6"/>
  <c r="M754" i="6" s="1"/>
  <c r="L577" i="6"/>
  <c r="M577" i="6" s="1"/>
  <c r="L518" i="6"/>
  <c r="L515" i="6"/>
  <c r="L473" i="6"/>
  <c r="L604" i="6"/>
  <c r="M604" i="6" s="1"/>
  <c r="K601" i="6"/>
  <c r="M601" i="6" s="1"/>
  <c r="L514" i="6"/>
  <c r="M479" i="6"/>
  <c r="M475" i="6"/>
  <c r="M467" i="6"/>
  <c r="M463" i="6"/>
  <c r="P528" i="6"/>
  <c r="M519" i="6"/>
  <c r="M496" i="6"/>
  <c r="M486" i="6"/>
  <c r="M477" i="6"/>
  <c r="L476" i="6"/>
  <c r="L468" i="6"/>
  <c r="M461" i="6"/>
  <c r="M641" i="6"/>
  <c r="M489" i="6"/>
  <c r="M488" i="6"/>
  <c r="M474" i="6"/>
  <c r="M466" i="6"/>
  <c r="K652" i="6"/>
  <c r="K607" i="6"/>
  <c r="M607" i="6" s="1"/>
  <c r="L541" i="6"/>
  <c r="M541" i="6" s="1"/>
  <c r="M537" i="6"/>
  <c r="M517" i="6"/>
  <c r="M508" i="6"/>
  <c r="M491" i="6"/>
  <c r="L485" i="6"/>
  <c r="L464" i="6"/>
  <c r="A650" i="6"/>
  <c r="L624" i="6"/>
  <c r="M624" i="6" s="1"/>
  <c r="L582" i="6"/>
  <c r="M582" i="6" s="1"/>
  <c r="K561" i="6"/>
  <c r="M561" i="6" s="1"/>
  <c r="M555" i="6"/>
  <c r="M504" i="6"/>
  <c r="L492" i="6"/>
  <c r="M471" i="6"/>
  <c r="L465" i="6"/>
  <c r="L563" i="6"/>
  <c r="M563" i="6" s="1"/>
  <c r="M505" i="6"/>
  <c r="M501" i="6"/>
  <c r="M494" i="6"/>
  <c r="L493" i="6"/>
  <c r="L472" i="6"/>
  <c r="M469" i="6"/>
  <c r="M468" i="6"/>
  <c r="L460" i="6"/>
  <c r="M551" i="7"/>
  <c r="K753" i="7"/>
  <c r="M753" i="7" s="1"/>
  <c r="L599" i="7"/>
  <c r="M599" i="7" s="1"/>
  <c r="L512" i="7"/>
  <c r="L492" i="7"/>
  <c r="M463" i="7"/>
  <c r="L459" i="7"/>
  <c r="M511" i="7"/>
  <c r="L526" i="9"/>
  <c r="M526" i="9"/>
  <c r="L603" i="9"/>
  <c r="M603" i="9" s="1"/>
  <c r="L509" i="9"/>
  <c r="L529" i="9"/>
  <c r="L513" i="9"/>
  <c r="K682" i="9"/>
  <c r="M682" i="9" s="1"/>
  <c r="K668" i="9"/>
  <c r="M668" i="9" s="1"/>
  <c r="L666" i="9"/>
  <c r="M666" i="9" s="1"/>
  <c r="L647" i="9"/>
  <c r="K647" i="9" s="1"/>
  <c r="M647" i="9" s="1"/>
  <c r="L616" i="9"/>
  <c r="M616" i="9" s="1"/>
  <c r="K597" i="9"/>
  <c r="M597" i="9" s="1"/>
  <c r="M578" i="9"/>
  <c r="M538" i="9"/>
  <c r="M525" i="9"/>
  <c r="K789" i="9"/>
  <c r="M789" i="9" s="1"/>
  <c r="L684" i="9"/>
  <c r="K643" i="9"/>
  <c r="M643" i="9" s="1"/>
  <c r="K642" i="9"/>
  <c r="M642" i="9" s="1"/>
  <c r="K627" i="9"/>
  <c r="M539" i="9"/>
  <c r="M521" i="9"/>
  <c r="L503" i="9"/>
  <c r="K602" i="9"/>
  <c r="M602" i="9" s="1"/>
  <c r="K589" i="9"/>
  <c r="M589" i="9" s="1"/>
  <c r="M582" i="9"/>
  <c r="M553" i="9"/>
  <c r="M549" i="9"/>
  <c r="L540" i="9"/>
  <c r="M505" i="9"/>
  <c r="L501" i="9"/>
  <c r="M497" i="9"/>
  <c r="H663" i="4"/>
  <c r="J743" i="4"/>
  <c r="J733" i="4"/>
  <c r="I701" i="4"/>
  <c r="J632" i="4"/>
  <c r="H595" i="4"/>
  <c r="D541" i="4"/>
  <c r="H541" i="4" s="1"/>
  <c r="J541" i="4" s="1"/>
  <c r="H540" i="4"/>
  <c r="D677" i="4"/>
  <c r="I677" i="4"/>
  <c r="F472" i="4"/>
  <c r="F468" i="4"/>
  <c r="I468" i="4" s="1"/>
  <c r="K688" i="9"/>
  <c r="L679" i="9"/>
  <c r="M679" i="9" s="1"/>
  <c r="L662" i="9"/>
  <c r="M662" i="9" s="1"/>
  <c r="L661" i="9"/>
  <c r="M661" i="9" s="1"/>
  <c r="K659" i="9"/>
  <c r="M659" i="9" s="1"/>
  <c r="L638" i="9"/>
  <c r="M638" i="9" s="1"/>
  <c r="L608" i="9"/>
  <c r="M608" i="9" s="1"/>
  <c r="L600" i="9"/>
  <c r="L510" i="9"/>
  <c r="M496" i="9"/>
  <c r="A686" i="9"/>
  <c r="K572" i="9"/>
  <c r="M572" i="9" s="1"/>
  <c r="M550" i="9"/>
  <c r="L531" i="9"/>
  <c r="L511" i="9"/>
  <c r="M507" i="9"/>
  <c r="L502" i="9"/>
  <c r="L497" i="9"/>
  <c r="A782" i="9"/>
  <c r="L665" i="9"/>
  <c r="M665" i="9" s="1"/>
  <c r="K623" i="9"/>
  <c r="M623" i="9" s="1"/>
  <c r="K622" i="9"/>
  <c r="M622" i="9" s="1"/>
  <c r="K611" i="9"/>
  <c r="M611" i="9" s="1"/>
  <c r="K609" i="9"/>
  <c r="M609" i="9" s="1"/>
  <c r="M575" i="9"/>
  <c r="L555" i="9"/>
  <c r="L551" i="9"/>
  <c r="L543" i="9"/>
  <c r="M540" i="9"/>
  <c r="M522" i="9"/>
  <c r="M513" i="9"/>
  <c r="L512" i="9"/>
  <c r="M499" i="9"/>
  <c r="M536" i="7"/>
  <c r="M530" i="7"/>
  <c r="P525" i="7"/>
  <c r="L514" i="7"/>
  <c r="M504" i="7"/>
  <c r="K751" i="7"/>
  <c r="M751" i="7" s="1"/>
  <c r="K570" i="7"/>
  <c r="M570" i="7" s="1"/>
  <c r="M487" i="7"/>
  <c r="L579" i="7"/>
  <c r="M579" i="7" s="1"/>
  <c r="M535" i="7"/>
  <c r="M638" i="7"/>
  <c r="L601" i="7"/>
  <c r="K568" i="7"/>
  <c r="M568" i="7" s="1"/>
  <c r="M484" i="7"/>
  <c r="M471" i="7"/>
  <c r="A746" i="6"/>
  <c r="L648" i="6"/>
  <c r="M648" i="6" s="1"/>
  <c r="K646" i="6"/>
  <c r="M646" i="6" s="1"/>
  <c r="K606" i="6"/>
  <c r="M606" i="6" s="1"/>
  <c r="L593" i="6"/>
  <c r="M593" i="6" s="1"/>
  <c r="M544" i="6"/>
  <c r="M516" i="6"/>
  <c r="M515" i="6"/>
  <c r="K756" i="6"/>
  <c r="M756" i="6" s="1"/>
  <c r="L647" i="6"/>
  <c r="M647" i="6" s="1"/>
  <c r="K632" i="6"/>
  <c r="M632" i="6" s="1"/>
  <c r="L592" i="6"/>
  <c r="M592" i="6" s="1"/>
  <c r="K575" i="6"/>
  <c r="K566" i="6"/>
  <c r="M566" i="6" s="1"/>
  <c r="M545" i="6"/>
  <c r="L540" i="6"/>
  <c r="L650" i="6" s="1"/>
  <c r="L505" i="6"/>
  <c r="M503" i="6"/>
  <c r="M490" i="6"/>
  <c r="L489" i="6"/>
  <c r="M478" i="6"/>
  <c r="L477" i="6"/>
  <c r="M470" i="6"/>
  <c r="L469" i="6"/>
  <c r="M462" i="6"/>
  <c r="L461" i="6"/>
  <c r="K610" i="6"/>
  <c r="M610" i="6" s="1"/>
  <c r="M538" i="6"/>
  <c r="M493" i="6"/>
  <c r="M492" i="6"/>
  <c r="M485" i="6"/>
  <c r="M473" i="6"/>
  <c r="M472" i="6"/>
  <c r="M465" i="6"/>
  <c r="M464" i="6"/>
  <c r="F761" i="4"/>
  <c r="H725" i="4"/>
  <c r="H716" i="4"/>
  <c r="H712" i="4"/>
  <c r="J708" i="4"/>
  <c r="J698" i="4"/>
  <c r="I645" i="4"/>
  <c r="H598" i="4"/>
  <c r="H572" i="4"/>
  <c r="L572" i="4" s="1"/>
  <c r="M572" i="4" s="1"/>
  <c r="H537" i="4"/>
  <c r="H654" i="4" s="1"/>
  <c r="H522" i="4"/>
  <c r="L522" i="4" s="1"/>
  <c r="H519" i="4"/>
  <c r="L519" i="4" s="1"/>
  <c r="M476" i="4"/>
  <c r="M472" i="4"/>
  <c r="M468" i="4"/>
  <c r="K757" i="4"/>
  <c r="I744" i="4"/>
  <c r="I740" i="4"/>
  <c r="J739" i="4"/>
  <c r="H726" i="4"/>
  <c r="I719" i="4"/>
  <c r="J718" i="4"/>
  <c r="J709" i="4"/>
  <c r="I705" i="4"/>
  <c r="E686" i="4"/>
  <c r="H686" i="4" s="1"/>
  <c r="A486" i="4"/>
  <c r="F467" i="4"/>
  <c r="I467" i="4" s="1"/>
  <c r="K643" i="7"/>
  <c r="M643" i="7" s="1"/>
  <c r="M543" i="7"/>
  <c r="M541" i="7"/>
  <c r="M540" i="7"/>
  <c r="L475" i="7"/>
  <c r="L467" i="7"/>
  <c r="L462" i="7"/>
  <c r="K563" i="7"/>
  <c r="M563" i="7" s="1"/>
  <c r="L561" i="7"/>
  <c r="M500" i="7"/>
  <c r="L498" i="7"/>
  <c r="L484" i="7"/>
  <c r="L622" i="7"/>
  <c r="M622" i="7" s="1"/>
  <c r="K620" i="7"/>
  <c r="M620" i="7" s="1"/>
  <c r="L602" i="7"/>
  <c r="M602" i="7" s="1"/>
  <c r="K592" i="7"/>
  <c r="M592" i="7" s="1"/>
  <c r="L575" i="7"/>
  <c r="M575" i="7" s="1"/>
  <c r="K572" i="7"/>
  <c r="M572" i="7" s="1"/>
  <c r="M510" i="7"/>
  <c r="M499" i="7"/>
  <c r="M488" i="7"/>
  <c r="M461" i="7"/>
  <c r="K649" i="7"/>
  <c r="L627" i="7"/>
  <c r="M627" i="7" s="1"/>
  <c r="L624" i="7"/>
  <c r="M624" i="7" s="1"/>
  <c r="L608" i="7"/>
  <c r="K608" i="7" s="1"/>
  <c r="M608" i="7" s="1"/>
  <c r="L605" i="7"/>
  <c r="M605" i="7" s="1"/>
  <c r="K604" i="7"/>
  <c r="M604" i="7" s="1"/>
  <c r="K585" i="7"/>
  <c r="M585" i="7" s="1"/>
  <c r="L577" i="7"/>
  <c r="M577" i="7" s="1"/>
  <c r="M538" i="7"/>
  <c r="L487" i="7"/>
  <c r="M482" i="7"/>
  <c r="M475" i="7"/>
  <c r="M473" i="7"/>
  <c r="L471" i="7"/>
  <c r="L466" i="7"/>
  <c r="M459" i="7"/>
  <c r="M457" i="7"/>
  <c r="A743" i="7"/>
  <c r="M625" i="7"/>
  <c r="L589" i="7"/>
  <c r="M589" i="7" s="1"/>
  <c r="K588" i="7"/>
  <c r="M588" i="7" s="1"/>
  <c r="M539" i="7"/>
  <c r="M534" i="7"/>
  <c r="L510" i="7"/>
  <c r="L488" i="7"/>
  <c r="L641" i="7"/>
  <c r="M641" i="7" s="1"/>
  <c r="K628" i="7"/>
  <c r="M628" i="7" s="1"/>
  <c r="M573" i="7"/>
  <c r="L565" i="7"/>
  <c r="M565" i="7" s="1"/>
  <c r="M493" i="7"/>
  <c r="M492" i="7"/>
  <c r="L491" i="7"/>
  <c r="L474" i="7"/>
  <c r="M467" i="7"/>
  <c r="M465" i="7"/>
  <c r="L463" i="7"/>
  <c r="M458" i="7"/>
  <c r="J744" i="4"/>
  <c r="J727" i="4"/>
  <c r="J706" i="4"/>
  <c r="D678" i="4"/>
  <c r="H678" i="4" s="1"/>
  <c r="D676" i="4"/>
  <c r="H676" i="4" s="1"/>
  <c r="K676" i="4" s="1"/>
  <c r="M676" i="4" s="1"/>
  <c r="H649" i="4"/>
  <c r="H605" i="4"/>
  <c r="J597" i="4"/>
  <c r="H584" i="4"/>
  <c r="L584" i="4" s="1"/>
  <c r="H580" i="4"/>
  <c r="K580" i="4" s="1"/>
  <c r="M580" i="4" s="1"/>
  <c r="H577" i="4"/>
  <c r="H558" i="4"/>
  <c r="J558" i="4" s="1"/>
  <c r="H549" i="4"/>
  <c r="M541" i="4"/>
  <c r="H521" i="4"/>
  <c r="L521" i="4" s="1"/>
  <c r="M470" i="4"/>
  <c r="H719" i="4"/>
  <c r="H704" i="4"/>
  <c r="F479" i="4"/>
  <c r="I479" i="4" s="1"/>
  <c r="H743" i="4"/>
  <c r="J726" i="4"/>
  <c r="H691" i="4"/>
  <c r="H680" i="4"/>
  <c r="H632" i="4"/>
  <c r="I587" i="4"/>
  <c r="H586" i="4"/>
  <c r="L586" i="4" s="1"/>
  <c r="M586" i="4" s="1"/>
  <c r="H538" i="4"/>
  <c r="J538" i="4" s="1"/>
  <c r="F474" i="4"/>
  <c r="I474" i="4" s="1"/>
  <c r="M466" i="4"/>
  <c r="H738" i="4"/>
  <c r="H737" i="4"/>
  <c r="H736" i="4"/>
  <c r="J729" i="4"/>
  <c r="H720" i="4"/>
  <c r="J714" i="4"/>
  <c r="H713" i="4"/>
  <c r="H684" i="4"/>
  <c r="J680" i="4"/>
  <c r="I680" i="4"/>
  <c r="H679" i="4"/>
  <c r="K656" i="4"/>
  <c r="H631" i="4"/>
  <c r="H627" i="4"/>
  <c r="K627" i="4" s="1"/>
  <c r="M627" i="4" s="1"/>
  <c r="H615" i="4"/>
  <c r="H613" i="4"/>
  <c r="L613" i="4" s="1"/>
  <c r="H609" i="4"/>
  <c r="L609" i="4" s="1"/>
  <c r="M609" i="4" s="1"/>
  <c r="H585" i="4"/>
  <c r="L585" i="4" s="1"/>
  <c r="M585" i="4" s="1"/>
  <c r="H559" i="4"/>
  <c r="J559" i="4" s="1"/>
  <c r="M559" i="4" s="1"/>
  <c r="H550" i="4"/>
  <c r="M522" i="4"/>
  <c r="F517" i="4"/>
  <c r="I517" i="4" s="1"/>
  <c r="F512" i="4"/>
  <c r="F511" i="4"/>
  <c r="I511" i="4" s="1"/>
  <c r="F510" i="4"/>
  <c r="I510" i="4" s="1"/>
  <c r="F509" i="4"/>
  <c r="I509" i="4" s="1"/>
  <c r="F508" i="4"/>
  <c r="I508" i="4" s="1"/>
  <c r="F507" i="4"/>
  <c r="I507" i="4" s="1"/>
  <c r="F506" i="4"/>
  <c r="I506" i="4" s="1"/>
  <c r="F505" i="4"/>
  <c r="I505" i="4" s="1"/>
  <c r="F500" i="4"/>
  <c r="F499" i="4"/>
  <c r="I499" i="4" s="1"/>
  <c r="F498" i="4"/>
  <c r="I498" i="4" s="1"/>
  <c r="F497" i="4"/>
  <c r="F496" i="4"/>
  <c r="F495" i="4"/>
  <c r="I495" i="4" s="1"/>
  <c r="F494" i="4"/>
  <c r="I494" i="4" s="1"/>
  <c r="F493" i="4"/>
  <c r="I493" i="4" s="1"/>
  <c r="F492" i="4"/>
  <c r="F491" i="4"/>
  <c r="I491" i="4" s="1"/>
  <c r="F490" i="4"/>
  <c r="I490" i="4" s="1"/>
  <c r="F489" i="4"/>
  <c r="I489" i="4" s="1"/>
  <c r="A485" i="4"/>
  <c r="F480" i="4"/>
  <c r="I480" i="4" s="1"/>
  <c r="F478" i="4"/>
  <c r="I478" i="4" s="1"/>
  <c r="I471" i="4"/>
  <c r="F466" i="4"/>
  <c r="I466" i="4" s="1"/>
  <c r="F751" i="4"/>
  <c r="D749" i="4"/>
  <c r="J749" i="4" s="1"/>
  <c r="I679" i="4"/>
  <c r="I678" i="4"/>
  <c r="H677" i="4"/>
  <c r="H673" i="4"/>
  <c r="J631" i="4"/>
  <c r="D614" i="4"/>
  <c r="J614" i="4" s="1"/>
  <c r="H610" i="4"/>
  <c r="K610" i="4" s="1"/>
  <c r="M610" i="4" s="1"/>
  <c r="I598" i="4"/>
  <c r="N533" i="4"/>
  <c r="F522" i="4"/>
  <c r="I522" i="4" s="1"/>
  <c r="F520" i="4"/>
  <c r="I520" i="4" s="1"/>
  <c r="F483" i="4"/>
  <c r="I483" i="4" s="1"/>
  <c r="M478" i="4"/>
  <c r="F475" i="4"/>
  <c r="I475" i="4" s="1"/>
  <c r="I472" i="4"/>
  <c r="H467" i="4"/>
  <c r="L467" i="4" s="1"/>
  <c r="K760" i="4"/>
  <c r="H759" i="4"/>
  <c r="J735" i="4"/>
  <c r="H724" i="4"/>
  <c r="H721" i="4"/>
  <c r="H715" i="4"/>
  <c r="J712" i="4"/>
  <c r="H710" i="4"/>
  <c r="H697" i="4"/>
  <c r="J691" i="4"/>
  <c r="L615" i="4"/>
  <c r="H611" i="4"/>
  <c r="H607" i="4"/>
  <c r="H590" i="4"/>
  <c r="H588" i="4"/>
  <c r="K588" i="4" s="1"/>
  <c r="F656" i="4"/>
  <c r="J565" i="4"/>
  <c r="D542" i="4"/>
  <c r="H542" i="4" s="1"/>
  <c r="J540" i="4"/>
  <c r="P532" i="4"/>
  <c r="H517" i="4"/>
  <c r="L517" i="4" s="1"/>
  <c r="H512" i="4"/>
  <c r="L512" i="4" s="1"/>
  <c r="H511" i="4"/>
  <c r="L511" i="4" s="1"/>
  <c r="H510" i="4"/>
  <c r="L510" i="4" s="1"/>
  <c r="H509" i="4"/>
  <c r="H508" i="4"/>
  <c r="H507" i="4"/>
  <c r="L507" i="4" s="1"/>
  <c r="H506" i="4"/>
  <c r="L506" i="4" s="1"/>
  <c r="H505" i="4"/>
  <c r="H500" i="4"/>
  <c r="L500" i="4" s="1"/>
  <c r="H499" i="4"/>
  <c r="L499" i="4" s="1"/>
  <c r="H498" i="4"/>
  <c r="L498" i="4" s="1"/>
  <c r="H497" i="4"/>
  <c r="L497" i="4" s="1"/>
  <c r="H496" i="4"/>
  <c r="L496" i="4" s="1"/>
  <c r="H495" i="4"/>
  <c r="L495" i="4" s="1"/>
  <c r="H494" i="4"/>
  <c r="L494" i="4" s="1"/>
  <c r="H493" i="4"/>
  <c r="H492" i="4"/>
  <c r="L492" i="4" s="1"/>
  <c r="H491" i="4"/>
  <c r="L491" i="4" s="1"/>
  <c r="H490" i="4"/>
  <c r="L490" i="4" s="1"/>
  <c r="H489" i="4"/>
  <c r="L489" i="4" s="1"/>
  <c r="F482" i="4"/>
  <c r="I482" i="4" s="1"/>
  <c r="F476" i="4"/>
  <c r="I476" i="4" s="1"/>
  <c r="H471" i="4"/>
  <c r="L471" i="4" s="1"/>
  <c r="F470" i="4"/>
  <c r="I470" i="4" s="1"/>
  <c r="F464" i="4"/>
  <c r="I464" i="4" s="1"/>
  <c r="L663" i="9"/>
  <c r="M663" i="9" s="1"/>
  <c r="M468" i="7"/>
  <c r="L468" i="7"/>
  <c r="H747" i="4"/>
  <c r="J747" i="4"/>
  <c r="M521" i="4"/>
  <c r="A793" i="9"/>
  <c r="K790" i="9"/>
  <c r="M790" i="9" s="1"/>
  <c r="K782" i="9"/>
  <c r="L660" i="9"/>
  <c r="M660" i="9" s="1"/>
  <c r="K646" i="9"/>
  <c r="M646" i="9" s="1"/>
  <c r="M645" i="9"/>
  <c r="L549" i="9"/>
  <c r="L505" i="9"/>
  <c r="L490" i="7"/>
  <c r="M490" i="7"/>
  <c r="N564" i="9"/>
  <c r="P564" i="9"/>
  <c r="L796" i="9"/>
  <c r="L680" i="9"/>
  <c r="M680" i="9" s="1"/>
  <c r="K667" i="9"/>
  <c r="M667" i="9" s="1"/>
  <c r="L617" i="9"/>
  <c r="M617" i="9" s="1"/>
  <c r="L542" i="9"/>
  <c r="M542" i="9"/>
  <c r="L757" i="7"/>
  <c r="M688" i="7"/>
  <c r="K743" i="7"/>
  <c r="K548" i="7"/>
  <c r="M548" i="7" s="1"/>
  <c r="K792" i="9"/>
  <c r="M792" i="9" s="1"/>
  <c r="M627" i="9"/>
  <c r="L640" i="9"/>
  <c r="M640" i="9" s="1"/>
  <c r="L639" i="9"/>
  <c r="M639" i="9" s="1"/>
  <c r="K598" i="9"/>
  <c r="M598" i="9" s="1"/>
  <c r="M590" i="9"/>
  <c r="K587" i="9"/>
  <c r="M587" i="9" s="1"/>
  <c r="M581" i="9"/>
  <c r="M569" i="9"/>
  <c r="L552" i="9"/>
  <c r="L532" i="9"/>
  <c r="L530" i="9"/>
  <c r="L514" i="9"/>
  <c r="L506" i="9"/>
  <c r="M498" i="9"/>
  <c r="K642" i="7"/>
  <c r="M642" i="7" s="1"/>
  <c r="K583" i="7"/>
  <c r="M583" i="7" s="1"/>
  <c r="M464" i="7"/>
  <c r="L464" i="7"/>
  <c r="L719" i="6"/>
  <c r="M719" i="6" s="1"/>
  <c r="L626" i="6"/>
  <c r="M626" i="6" s="1"/>
  <c r="L782" i="9"/>
  <c r="L683" i="9"/>
  <c r="M683" i="9" s="1"/>
  <c r="K681" i="9"/>
  <c r="M681" i="9" s="1"/>
  <c r="K678" i="9"/>
  <c r="M678" i="9" s="1"/>
  <c r="M677" i="9"/>
  <c r="K658" i="9"/>
  <c r="M658" i="9" s="1"/>
  <c r="K657" i="9"/>
  <c r="M657" i="9" s="1"/>
  <c r="L644" i="9"/>
  <c r="M644" i="9" s="1"/>
  <c r="L629" i="9"/>
  <c r="M629" i="9" s="1"/>
  <c r="K624" i="9"/>
  <c r="M624" i="9" s="1"/>
  <c r="K621" i="9"/>
  <c r="M621" i="9" s="1"/>
  <c r="L618" i="9"/>
  <c r="M618" i="9" s="1"/>
  <c r="L614" i="9"/>
  <c r="M614" i="9" s="1"/>
  <c r="M580" i="9"/>
  <c r="M579" i="9"/>
  <c r="L577" i="9"/>
  <c r="M577" i="9" s="1"/>
  <c r="M573" i="9"/>
  <c r="M555" i="9"/>
  <c r="M552" i="9"/>
  <c r="M544" i="9"/>
  <c r="M543" i="9"/>
  <c r="M530" i="9"/>
  <c r="L524" i="9"/>
  <c r="A519" i="9"/>
  <c r="A517" i="9"/>
  <c r="M509" i="9"/>
  <c r="L508" i="9"/>
  <c r="M501" i="9"/>
  <c r="L500" i="9"/>
  <c r="K582" i="7"/>
  <c r="M582" i="7" s="1"/>
  <c r="K559" i="7"/>
  <c r="M559" i="7" s="1"/>
  <c r="M491" i="7"/>
  <c r="L486" i="7"/>
  <c r="M486" i="7"/>
  <c r="M483" i="7"/>
  <c r="M476" i="7"/>
  <c r="L476" i="7"/>
  <c r="M460" i="7"/>
  <c r="L460" i="7"/>
  <c r="L609" i="6"/>
  <c r="M609" i="6" s="1"/>
  <c r="M540" i="6"/>
  <c r="M664" i="9"/>
  <c r="L641" i="9"/>
  <c r="M641" i="9" s="1"/>
  <c r="K637" i="9"/>
  <c r="M637" i="9" s="1"/>
  <c r="K631" i="9"/>
  <c r="M631" i="9" s="1"/>
  <c r="L628" i="9"/>
  <c r="M628" i="9" s="1"/>
  <c r="K610" i="9"/>
  <c r="M610" i="9" s="1"/>
  <c r="K607" i="9"/>
  <c r="M607" i="9" s="1"/>
  <c r="L604" i="9"/>
  <c r="M604" i="9" s="1"/>
  <c r="L601" i="9"/>
  <c r="L599" i="9"/>
  <c r="M599" i="9" s="1"/>
  <c r="M591" i="9"/>
  <c r="L541" i="9"/>
  <c r="L539" i="9"/>
  <c r="L538" i="9"/>
  <c r="M529" i="9"/>
  <c r="L523" i="9"/>
  <c r="L515" i="9"/>
  <c r="M511" i="9"/>
  <c r="L507" i="9"/>
  <c r="M503" i="9"/>
  <c r="L499" i="9"/>
  <c r="K558" i="7"/>
  <c r="M558" i="7" s="1"/>
  <c r="L513" i="7"/>
  <c r="M513" i="7"/>
  <c r="M472" i="7"/>
  <c r="L472" i="7"/>
  <c r="K591" i="6"/>
  <c r="M591" i="6" s="1"/>
  <c r="L743" i="7"/>
  <c r="L645" i="7"/>
  <c r="M645" i="7" s="1"/>
  <c r="K629" i="7"/>
  <c r="M629" i="7" s="1"/>
  <c r="L626" i="7"/>
  <c r="M626" i="7" s="1"/>
  <c r="K607" i="7"/>
  <c r="M607" i="7" s="1"/>
  <c r="L600" i="7"/>
  <c r="M600" i="7" s="1"/>
  <c r="K581" i="7"/>
  <c r="M581" i="7" s="1"/>
  <c r="L574" i="7"/>
  <c r="M574" i="7" s="1"/>
  <c r="K571" i="7"/>
  <c r="M571" i="7" s="1"/>
  <c r="L560" i="7"/>
  <c r="M560" i="7" s="1"/>
  <c r="L537" i="7"/>
  <c r="L647" i="7" s="1"/>
  <c r="L516" i="7"/>
  <c r="L502" i="7"/>
  <c r="L499" i="7"/>
  <c r="A479" i="7"/>
  <c r="L473" i="7"/>
  <c r="L469" i="7"/>
  <c r="L465" i="7"/>
  <c r="L461" i="7"/>
  <c r="L457" i="7"/>
  <c r="K753" i="6"/>
  <c r="K642" i="6"/>
  <c r="M642" i="6" s="1"/>
  <c r="L605" i="6"/>
  <c r="M605" i="6" s="1"/>
  <c r="L602" i="6"/>
  <c r="M602" i="6" s="1"/>
  <c r="K584" i="6"/>
  <c r="M584" i="6" s="1"/>
  <c r="L581" i="6"/>
  <c r="H748" i="4"/>
  <c r="J748" i="4"/>
  <c r="L640" i="7"/>
  <c r="M640" i="7" s="1"/>
  <c r="L623" i="7"/>
  <c r="M623" i="7" s="1"/>
  <c r="M552" i="7"/>
  <c r="L503" i="7"/>
  <c r="M498" i="7"/>
  <c r="A757" i="6"/>
  <c r="K553" i="6"/>
  <c r="M553" i="6" s="1"/>
  <c r="J628" i="4"/>
  <c r="H628" i="4"/>
  <c r="H469" i="4"/>
  <c r="L469" i="4" s="1"/>
  <c r="F469" i="4"/>
  <c r="I469" i="4" s="1"/>
  <c r="M469" i="4"/>
  <c r="K598" i="7"/>
  <c r="M598" i="7" s="1"/>
  <c r="K550" i="7"/>
  <c r="M550" i="7" s="1"/>
  <c r="M515" i="7"/>
  <c r="M514" i="7"/>
  <c r="L493" i="7"/>
  <c r="L489" i="7"/>
  <c r="L485" i="7"/>
  <c r="M474" i="7"/>
  <c r="M470" i="7"/>
  <c r="M466" i="7"/>
  <c r="M462" i="7"/>
  <c r="L643" i="6"/>
  <c r="M643" i="6" s="1"/>
  <c r="K571" i="6"/>
  <c r="M571" i="6" s="1"/>
  <c r="M542" i="6"/>
  <c r="K536" i="6"/>
  <c r="K650" i="6" s="1"/>
  <c r="A511" i="6"/>
  <c r="H755" i="4"/>
  <c r="J755" i="4"/>
  <c r="J761" i="4" s="1"/>
  <c r="H566" i="4"/>
  <c r="I566" i="4"/>
  <c r="L564" i="6"/>
  <c r="M546" i="6"/>
  <c r="M533" i="6"/>
  <c r="L503" i="6"/>
  <c r="A499" i="6"/>
  <c r="L494" i="6"/>
  <c r="L490" i="6"/>
  <c r="L486" i="6"/>
  <c r="L478" i="6"/>
  <c r="L474" i="6"/>
  <c r="L470" i="6"/>
  <c r="L466" i="6"/>
  <c r="L462" i="6"/>
  <c r="A750" i="4"/>
  <c r="H746" i="4"/>
  <c r="H745" i="4"/>
  <c r="F753" i="4"/>
  <c r="H735" i="4"/>
  <c r="H731" i="4"/>
  <c r="J731" i="4"/>
  <c r="J702" i="4"/>
  <c r="J694" i="4"/>
  <c r="H694" i="4"/>
  <c r="I673" i="4"/>
  <c r="I695" i="4"/>
  <c r="I663" i="4"/>
  <c r="J688" i="4"/>
  <c r="J730" i="4"/>
  <c r="I691" i="4"/>
  <c r="H645" i="4"/>
  <c r="H592" i="4"/>
  <c r="H587" i="4"/>
  <c r="I575" i="4"/>
  <c r="J575" i="4"/>
  <c r="H571" i="4"/>
  <c r="J557" i="4"/>
  <c r="H557" i="4"/>
  <c r="H473" i="4"/>
  <c r="L473" i="4" s="1"/>
  <c r="F473" i="4"/>
  <c r="I473" i="4" s="1"/>
  <c r="M473" i="4"/>
  <c r="L568" i="6"/>
  <c r="M568" i="6" s="1"/>
  <c r="L565" i="6"/>
  <c r="K562" i="6"/>
  <c r="M562" i="6" s="1"/>
  <c r="K551" i="6"/>
  <c r="M551" i="6" s="1"/>
  <c r="M543" i="6"/>
  <c r="M539" i="6"/>
  <c r="M534" i="6"/>
  <c r="L516" i="6"/>
  <c r="L507" i="6"/>
  <c r="L504" i="6"/>
  <c r="L502" i="6"/>
  <c r="L501" i="6"/>
  <c r="L495" i="6"/>
  <c r="L491" i="6"/>
  <c r="L487" i="6"/>
  <c r="A481" i="6"/>
  <c r="L479" i="6"/>
  <c r="L475" i="6"/>
  <c r="L471" i="6"/>
  <c r="L467" i="6"/>
  <c r="L463" i="6"/>
  <c r="A458" i="6"/>
  <c r="A761" i="4"/>
  <c r="I760" i="4"/>
  <c r="J745" i="4"/>
  <c r="I717" i="4"/>
  <c r="J716" i="4"/>
  <c r="I715" i="4"/>
  <c r="H709" i="4"/>
  <c r="J705" i="4"/>
  <c r="H705" i="4"/>
  <c r="H696" i="4"/>
  <c r="I688" i="4"/>
  <c r="I682" i="4"/>
  <c r="J668" i="4"/>
  <c r="I665" i="4"/>
  <c r="J612" i="4"/>
  <c r="H612" i="4"/>
  <c r="I557" i="4"/>
  <c r="H539" i="4"/>
  <c r="F523" i="4"/>
  <c r="I523" i="4" s="1"/>
  <c r="H523" i="4"/>
  <c r="L523" i="4" s="1"/>
  <c r="H477" i="4"/>
  <c r="L477" i="4" s="1"/>
  <c r="F477" i="4"/>
  <c r="I477" i="4" s="1"/>
  <c r="M477" i="4"/>
  <c r="K758" i="4"/>
  <c r="I758" i="4"/>
  <c r="J723" i="4"/>
  <c r="H723" i="4"/>
  <c r="D675" i="4"/>
  <c r="H675" i="4" s="1"/>
  <c r="I675" i="4"/>
  <c r="H481" i="4"/>
  <c r="L481" i="4" s="1"/>
  <c r="F481" i="4"/>
  <c r="I481" i="4" s="1"/>
  <c r="M481" i="4"/>
  <c r="H465" i="4"/>
  <c r="L465" i="4" s="1"/>
  <c r="F465" i="4"/>
  <c r="I465" i="4" s="1"/>
  <c r="M465" i="4"/>
  <c r="I689" i="4"/>
  <c r="H685" i="4"/>
  <c r="I681" i="4"/>
  <c r="H674" i="4"/>
  <c r="H668" i="4"/>
  <c r="H666" i="4"/>
  <c r="K666" i="4" s="1"/>
  <c r="J665" i="4"/>
  <c r="H646" i="4"/>
  <c r="H596" i="4"/>
  <c r="L596" i="4" s="1"/>
  <c r="H582" i="4"/>
  <c r="L582" i="4" s="1"/>
  <c r="M582" i="4" s="1"/>
  <c r="H575" i="4"/>
  <c r="H544" i="4"/>
  <c r="J544" i="4" s="1"/>
  <c r="L544" i="4" s="1"/>
  <c r="F518" i="4"/>
  <c r="I518" i="4" s="1"/>
  <c r="H480" i="4"/>
  <c r="L480" i="4" s="1"/>
  <c r="H476" i="4"/>
  <c r="L476" i="4" s="1"/>
  <c r="H472" i="4"/>
  <c r="H468" i="4"/>
  <c r="L468" i="4" s="1"/>
  <c r="H464" i="4"/>
  <c r="L464" i="4" s="1"/>
  <c r="H757" i="4"/>
  <c r="H756" i="4"/>
  <c r="I756" i="4" s="1"/>
  <c r="M756" i="4" s="1"/>
  <c r="F752" i="4"/>
  <c r="F750" i="4"/>
  <c r="J741" i="4"/>
  <c r="J740" i="4"/>
  <c r="H739" i="4"/>
  <c r="J734" i="4"/>
  <c r="H730" i="4"/>
  <c r="H729" i="4"/>
  <c r="H727" i="4"/>
  <c r="I726" i="4"/>
  <c r="I721" i="4"/>
  <c r="J711" i="4"/>
  <c r="J710" i="4"/>
  <c r="J703" i="4"/>
  <c r="J692" i="4"/>
  <c r="J690" i="4"/>
  <c r="J685" i="4"/>
  <c r="I674" i="4"/>
  <c r="H650" i="4"/>
  <c r="K650" i="4" s="1"/>
  <c r="M650" i="4" s="1"/>
  <c r="I632" i="4"/>
  <c r="H630" i="4"/>
  <c r="L630" i="4" s="1"/>
  <c r="M630" i="4" s="1"/>
  <c r="I605" i="4"/>
  <c r="H597" i="4"/>
  <c r="L597" i="4" s="1"/>
  <c r="M597" i="4" s="1"/>
  <c r="H589" i="4"/>
  <c r="K589" i="4" s="1"/>
  <c r="M589" i="4" s="1"/>
  <c r="H565" i="4"/>
  <c r="H548" i="4"/>
  <c r="I537" i="4"/>
  <c r="A515" i="4"/>
  <c r="A462" i="4"/>
  <c r="J700" i="4"/>
  <c r="I699" i="4"/>
  <c r="I693" i="4"/>
  <c r="H690" i="4"/>
  <c r="H681" i="4"/>
  <c r="J667" i="4"/>
  <c r="D576" i="4"/>
  <c r="H576" i="4" s="1"/>
  <c r="M519" i="4"/>
  <c r="M517" i="4"/>
  <c r="M483" i="4"/>
  <c r="H482" i="4"/>
  <c r="L482" i="4" s="1"/>
  <c r="M479" i="4"/>
  <c r="H478" i="4"/>
  <c r="L478" i="4" s="1"/>
  <c r="M475" i="4"/>
  <c r="H474" i="4"/>
  <c r="L474" i="4" s="1"/>
  <c r="M471" i="4"/>
  <c r="H470" i="4"/>
  <c r="L470" i="4" s="1"/>
  <c r="M467" i="4"/>
  <c r="H466" i="4"/>
  <c r="L466" i="4" s="1"/>
  <c r="M684" i="9"/>
  <c r="K588" i="9"/>
  <c r="M588" i="9" s="1"/>
  <c r="L554" i="9"/>
  <c r="M541" i="9"/>
  <c r="M532" i="9"/>
  <c r="M524" i="9"/>
  <c r="M514" i="9"/>
  <c r="M512" i="9"/>
  <c r="M510" i="9"/>
  <c r="M508" i="9"/>
  <c r="M506" i="9"/>
  <c r="M504" i="9"/>
  <c r="M502" i="9"/>
  <c r="M500" i="9"/>
  <c r="M755" i="9"/>
  <c r="K615" i="9"/>
  <c r="M615" i="9" s="1"/>
  <c r="M570" i="9"/>
  <c r="M554" i="9"/>
  <c r="L553" i="9"/>
  <c r="A547" i="9"/>
  <c r="L537" i="9"/>
  <c r="L528" i="9"/>
  <c r="L522" i="9"/>
  <c r="L521" i="9"/>
  <c r="K620" i="9"/>
  <c r="M620" i="9" s="1"/>
  <c r="K619" i="9"/>
  <c r="M619" i="9" s="1"/>
  <c r="L613" i="9"/>
  <c r="M613" i="9" s="1"/>
  <c r="L576" i="9"/>
  <c r="L686" i="9" s="1"/>
  <c r="M574" i="9"/>
  <c r="L550" i="9"/>
  <c r="L544" i="9"/>
  <c r="M537" i="9"/>
  <c r="M528" i="9"/>
  <c r="L527" i="9"/>
  <c r="A535" i="9"/>
  <c r="L498" i="9"/>
  <c r="A518" i="9"/>
  <c r="L496" i="9"/>
  <c r="A494" i="9"/>
  <c r="K750" i="7"/>
  <c r="M716" i="7"/>
  <c r="K619" i="7"/>
  <c r="M619" i="7" s="1"/>
  <c r="L606" i="7"/>
  <c r="M606" i="7" s="1"/>
  <c r="M601" i="7"/>
  <c r="K584" i="7"/>
  <c r="M584" i="7" s="1"/>
  <c r="K576" i="7"/>
  <c r="M576" i="7" s="1"/>
  <c r="L562" i="7"/>
  <c r="M542" i="7"/>
  <c r="M516" i="7"/>
  <c r="M512" i="7"/>
  <c r="M505" i="7"/>
  <c r="L505" i="7"/>
  <c r="M503" i="7"/>
  <c r="L458" i="7"/>
  <c r="A478" i="7"/>
  <c r="A455" i="7"/>
  <c r="M680" i="6"/>
  <c r="K746" i="6"/>
  <c r="K645" i="6"/>
  <c r="M645" i="6" s="1"/>
  <c r="M628" i="6"/>
  <c r="L627" i="6"/>
  <c r="M627" i="6" s="1"/>
  <c r="K622" i="6"/>
  <c r="M622" i="6" s="1"/>
  <c r="K595" i="6"/>
  <c r="M595" i="6" s="1"/>
  <c r="K587" i="6"/>
  <c r="M587" i="6" s="1"/>
  <c r="A647" i="7"/>
  <c r="L621" i="7"/>
  <c r="M621" i="7" s="1"/>
  <c r="L590" i="7"/>
  <c r="M590" i="7" s="1"/>
  <c r="K580" i="7"/>
  <c r="M580" i="7" s="1"/>
  <c r="L564" i="7"/>
  <c r="M564" i="7" s="1"/>
  <c r="K588" i="6"/>
  <c r="M588" i="6" s="1"/>
  <c r="K583" i="6"/>
  <c r="M583" i="6" s="1"/>
  <c r="A754" i="7"/>
  <c r="L644" i="7"/>
  <c r="M644" i="7" s="1"/>
  <c r="K618" i="7"/>
  <c r="M618" i="7" s="1"/>
  <c r="L578" i="7"/>
  <c r="M578" i="7" s="1"/>
  <c r="L569" i="7"/>
  <c r="M569" i="7" s="1"/>
  <c r="K549" i="7"/>
  <c r="M549" i="7" s="1"/>
  <c r="L515" i="7"/>
  <c r="L511" i="7"/>
  <c r="A496" i="7"/>
  <c r="L482" i="7"/>
  <c r="A480" i="7"/>
  <c r="L644" i="6"/>
  <c r="M644" i="6" s="1"/>
  <c r="K631" i="6"/>
  <c r="M631" i="6" s="1"/>
  <c r="L625" i="6"/>
  <c r="M625" i="6" s="1"/>
  <c r="L608" i="6"/>
  <c r="M608" i="6" s="1"/>
  <c r="K579" i="6"/>
  <c r="M579" i="6" s="1"/>
  <c r="K639" i="7"/>
  <c r="M639" i="7" s="1"/>
  <c r="K603" i="7"/>
  <c r="M603" i="7" s="1"/>
  <c r="M501" i="7"/>
  <c r="L501" i="7"/>
  <c r="M630" i="6"/>
  <c r="L629" i="6"/>
  <c r="M629" i="6" s="1"/>
  <c r="L580" i="6"/>
  <c r="M580" i="6" s="1"/>
  <c r="K623" i="6"/>
  <c r="M623" i="6" s="1"/>
  <c r="L603" i="6"/>
  <c r="M603" i="6" s="1"/>
  <c r="K576" i="6"/>
  <c r="M576" i="6" s="1"/>
  <c r="M575" i="6"/>
  <c r="A508" i="7"/>
  <c r="K621" i="6"/>
  <c r="M621" i="6" s="1"/>
  <c r="K585" i="6"/>
  <c r="M585" i="6" s="1"/>
  <c r="K574" i="6"/>
  <c r="M574" i="6" s="1"/>
  <c r="K586" i="6"/>
  <c r="M586" i="6" s="1"/>
  <c r="M581" i="6"/>
  <c r="L578" i="6"/>
  <c r="M578" i="6" s="1"/>
  <c r="I759" i="4"/>
  <c r="M759" i="4" s="1"/>
  <c r="K552" i="6"/>
  <c r="M552" i="6" s="1"/>
  <c r="H760" i="4"/>
  <c r="I755" i="4"/>
  <c r="H742" i="4"/>
  <c r="H741" i="4"/>
  <c r="H734" i="4"/>
  <c r="H733" i="4"/>
  <c r="I713" i="4"/>
  <c r="H711" i="4"/>
  <c r="H708" i="4"/>
  <c r="H703" i="4"/>
  <c r="H700" i="4"/>
  <c r="J682" i="4"/>
  <c r="K646" i="4"/>
  <c r="L513" i="6"/>
  <c r="A483" i="6"/>
  <c r="H758" i="4"/>
  <c r="H740" i="4"/>
  <c r="H732" i="4"/>
  <c r="H728" i="4"/>
  <c r="J725" i="4"/>
  <c r="L725" i="4" s="1"/>
  <c r="M725" i="4" s="1"/>
  <c r="J720" i="4"/>
  <c r="H714" i="4"/>
  <c r="H707" i="4"/>
  <c r="H699" i="4"/>
  <c r="J693" i="4"/>
  <c r="H693" i="4"/>
  <c r="H670" i="4"/>
  <c r="J670" i="4"/>
  <c r="M506" i="6"/>
  <c r="M502" i="6"/>
  <c r="A482" i="6"/>
  <c r="H718" i="4"/>
  <c r="H717" i="4"/>
  <c r="J715" i="4"/>
  <c r="H706" i="4"/>
  <c r="H702" i="4"/>
  <c r="H698" i="4"/>
  <c r="H695" i="4"/>
  <c r="H692" i="4"/>
  <c r="H688" i="4"/>
  <c r="J701" i="4"/>
  <c r="H701" i="4"/>
  <c r="I697" i="4"/>
  <c r="J696" i="4"/>
  <c r="J689" i="4"/>
  <c r="J681" i="4"/>
  <c r="I669" i="4"/>
  <c r="I667" i="4"/>
  <c r="I652" i="4"/>
  <c r="H651" i="4"/>
  <c r="I649" i="4"/>
  <c r="H647" i="4"/>
  <c r="I647" i="4"/>
  <c r="I711" i="4"/>
  <c r="I703" i="4"/>
  <c r="H669" i="4"/>
  <c r="H667" i="4"/>
  <c r="H652" i="4"/>
  <c r="F657" i="4"/>
  <c r="I648" i="4"/>
  <c r="H648" i="4"/>
  <c r="H636" i="4"/>
  <c r="J636" i="4"/>
  <c r="H635" i="4"/>
  <c r="J635" i="4"/>
  <c r="H634" i="4"/>
  <c r="J634" i="4"/>
  <c r="H633" i="4"/>
  <c r="J633" i="4"/>
  <c r="J546" i="4"/>
  <c r="M546" i="4" s="1"/>
  <c r="I668" i="4"/>
  <c r="I684" i="4"/>
  <c r="I685" i="4"/>
  <c r="F655" i="4"/>
  <c r="A654" i="4"/>
  <c r="I651" i="4"/>
  <c r="H626" i="4"/>
  <c r="H614" i="4"/>
  <c r="H608" i="4"/>
  <c r="I595" i="4"/>
  <c r="J581" i="4"/>
  <c r="H581" i="4"/>
  <c r="J556" i="4"/>
  <c r="H556" i="4"/>
  <c r="J545" i="4"/>
  <c r="I543" i="4"/>
  <c r="F654" i="4"/>
  <c r="H629" i="4"/>
  <c r="I625" i="4"/>
  <c r="H625" i="4"/>
  <c r="I615" i="4"/>
  <c r="J607" i="4"/>
  <c r="J605" i="4"/>
  <c r="J591" i="4"/>
  <c r="H591" i="4"/>
  <c r="J578" i="4"/>
  <c r="H578" i="4"/>
  <c r="J570" i="4"/>
  <c r="H570" i="4"/>
  <c r="J542" i="4"/>
  <c r="M542" i="4" s="1"/>
  <c r="I579" i="4"/>
  <c r="H579" i="4"/>
  <c r="J569" i="4"/>
  <c r="H569" i="4"/>
  <c r="J611" i="4"/>
  <c r="H606" i="4"/>
  <c r="J606" i="4"/>
  <c r="H599" i="4"/>
  <c r="I590" i="4"/>
  <c r="J583" i="4"/>
  <c r="H583" i="4"/>
  <c r="I578" i="4"/>
  <c r="J577" i="4"/>
  <c r="J568" i="4"/>
  <c r="J567" i="4"/>
  <c r="H567" i="4"/>
  <c r="J555" i="4"/>
  <c r="H555" i="4"/>
  <c r="D547" i="4"/>
  <c r="H547" i="4" s="1"/>
  <c r="I550" i="4"/>
  <c r="I549" i="4"/>
  <c r="I548" i="4"/>
  <c r="I512" i="4"/>
  <c r="M512" i="4"/>
  <c r="M511" i="4"/>
  <c r="M510" i="4"/>
  <c r="L509" i="4"/>
  <c r="M509" i="4"/>
  <c r="L508" i="4"/>
  <c r="M508" i="4"/>
  <c r="M507" i="4"/>
  <c r="M506" i="4"/>
  <c r="L505" i="4"/>
  <c r="M505" i="4"/>
  <c r="L472" i="4"/>
  <c r="M520" i="4"/>
  <c r="M518" i="4"/>
  <c r="A503" i="4"/>
  <c r="I500" i="4"/>
  <c r="M500" i="4"/>
  <c r="M499" i="4"/>
  <c r="M498" i="4"/>
  <c r="I497" i="4"/>
  <c r="M497" i="4"/>
  <c r="I496" i="4"/>
  <c r="M496" i="4"/>
  <c r="M495" i="4"/>
  <c r="I492" i="4"/>
  <c r="A487" i="4"/>
  <c r="F521" i="4"/>
  <c r="I521" i="4" s="1"/>
  <c r="H520" i="4"/>
  <c r="L520" i="4" s="1"/>
  <c r="F519" i="4"/>
  <c r="I519" i="4" s="1"/>
  <c r="H518" i="4"/>
  <c r="L518" i="4" s="1"/>
  <c r="M494" i="4"/>
  <c r="M493" i="4"/>
  <c r="M492" i="4"/>
  <c r="M491" i="4"/>
  <c r="M490" i="4"/>
  <c r="M489" i="4"/>
  <c r="L493" i="4"/>
  <c r="M584" i="4" l="1"/>
  <c r="M537" i="7"/>
  <c r="M533" i="7"/>
  <c r="M647" i="7"/>
  <c r="J537" i="4"/>
  <c r="K686" i="9"/>
  <c r="M686" i="9" s="1"/>
  <c r="K757" i="6"/>
  <c r="M757" i="6" s="1"/>
  <c r="L511" i="6"/>
  <c r="L499" i="6" s="1"/>
  <c r="M511" i="6"/>
  <c r="M650" i="6"/>
  <c r="M536" i="6"/>
  <c r="K590" i="4"/>
  <c r="M590" i="4" s="1"/>
  <c r="M558" i="4"/>
  <c r="M632" i="4"/>
  <c r="J645" i="4"/>
  <c r="M645" i="4" s="1"/>
  <c r="K677" i="4"/>
  <c r="K679" i="4"/>
  <c r="M679" i="4" s="1"/>
  <c r="K565" i="4"/>
  <c r="M565" i="4" s="1"/>
  <c r="L743" i="4"/>
  <c r="M743" i="4" s="1"/>
  <c r="K736" i="4"/>
  <c r="M736" i="4" s="1"/>
  <c r="K746" i="4"/>
  <c r="M746" i="4" s="1"/>
  <c r="L607" i="4"/>
  <c r="M607" i="4" s="1"/>
  <c r="K595" i="4"/>
  <c r="M595" i="4" s="1"/>
  <c r="K721" i="4"/>
  <c r="J549" i="4"/>
  <c r="M549" i="4" s="1"/>
  <c r="L739" i="4"/>
  <c r="M739" i="4" s="1"/>
  <c r="K566" i="4"/>
  <c r="M566" i="4" s="1"/>
  <c r="L704" i="4"/>
  <c r="M704" i="4" s="1"/>
  <c r="L731" i="4"/>
  <c r="M731" i="4" s="1"/>
  <c r="J663" i="4"/>
  <c r="J750" i="4" s="1"/>
  <c r="L710" i="4"/>
  <c r="M710" i="4" s="1"/>
  <c r="L631" i="4"/>
  <c r="M631" i="4" s="1"/>
  <c r="L727" i="4"/>
  <c r="M727" i="4" s="1"/>
  <c r="K709" i="4"/>
  <c r="M709" i="4" s="1"/>
  <c r="M757" i="4"/>
  <c r="L729" i="4"/>
  <c r="M729" i="4" s="1"/>
  <c r="K744" i="4"/>
  <c r="M744" i="4" s="1"/>
  <c r="K719" i="4"/>
  <c r="M719" i="4" s="1"/>
  <c r="M613" i="4"/>
  <c r="K697" i="4"/>
  <c r="M697" i="4" s="1"/>
  <c r="L735" i="4"/>
  <c r="M735" i="4" s="1"/>
  <c r="L737" i="4"/>
  <c r="M737" i="4" s="1"/>
  <c r="K678" i="4"/>
  <c r="M678" i="4" s="1"/>
  <c r="L681" i="4"/>
  <c r="M681" i="4" s="1"/>
  <c r="K730" i="4"/>
  <c r="M730" i="4" s="1"/>
  <c r="L628" i="4"/>
  <c r="M628" i="4" s="1"/>
  <c r="K724" i="4"/>
  <c r="M724" i="4" s="1"/>
  <c r="M598" i="4"/>
  <c r="K738" i="4"/>
  <c r="M738" i="4" s="1"/>
  <c r="M753" i="6"/>
  <c r="L746" i="6"/>
  <c r="L758" i="6" s="1"/>
  <c r="L483" i="6"/>
  <c r="L458" i="6"/>
  <c r="M458" i="6"/>
  <c r="M483" i="6"/>
  <c r="M455" i="7"/>
  <c r="M782" i="9"/>
  <c r="L547" i="9"/>
  <c r="L535" i="9" s="1"/>
  <c r="K673" i="4"/>
  <c r="M673" i="4" s="1"/>
  <c r="J686" i="4"/>
  <c r="K686" i="4" s="1"/>
  <c r="M686" i="4" s="1"/>
  <c r="K540" i="4"/>
  <c r="K654" i="4" s="1"/>
  <c r="K726" i="4"/>
  <c r="M726" i="4" s="1"/>
  <c r="K761" i="4"/>
  <c r="M758" i="4"/>
  <c r="H761" i="4"/>
  <c r="L612" i="4"/>
  <c r="M612" i="4" s="1"/>
  <c r="K793" i="9"/>
  <c r="M793" i="9" s="1"/>
  <c r="L794" i="9"/>
  <c r="M547" i="9"/>
  <c r="M535" i="9" s="1"/>
  <c r="M494" i="9"/>
  <c r="M519" i="9"/>
  <c r="M480" i="7"/>
  <c r="M499" i="6"/>
  <c r="M538" i="4"/>
  <c r="K691" i="4"/>
  <c r="M691" i="4" s="1"/>
  <c r="L745" i="4"/>
  <c r="M745" i="4" s="1"/>
  <c r="M721" i="4"/>
  <c r="L712" i="4"/>
  <c r="M712" i="4" s="1"/>
  <c r="L720" i="4"/>
  <c r="M720" i="4" s="1"/>
  <c r="M646" i="4"/>
  <c r="L716" i="4"/>
  <c r="M716" i="4" s="1"/>
  <c r="M743" i="7"/>
  <c r="M508" i="7"/>
  <c r="M496" i="7" s="1"/>
  <c r="L455" i="7"/>
  <c r="L480" i="7"/>
  <c r="L755" i="7"/>
  <c r="K577" i="4"/>
  <c r="M577" i="4" s="1"/>
  <c r="L696" i="4"/>
  <c r="M696" i="4" s="1"/>
  <c r="K715" i="4"/>
  <c r="M715" i="4" s="1"/>
  <c r="M760" i="4"/>
  <c r="M670" i="4"/>
  <c r="L694" i="4"/>
  <c r="M694" i="4" s="1"/>
  <c r="I462" i="4"/>
  <c r="L748" i="4"/>
  <c r="M748" i="4" s="1"/>
  <c r="L747" i="4"/>
  <c r="M747" i="4" s="1"/>
  <c r="J550" i="4"/>
  <c r="M550" i="4" s="1"/>
  <c r="M596" i="4"/>
  <c r="K611" i="4"/>
  <c r="M611" i="4" s="1"/>
  <c r="K575" i="4"/>
  <c r="M575" i="4" s="1"/>
  <c r="K615" i="4"/>
  <c r="M615" i="4" s="1"/>
  <c r="F762" i="4"/>
  <c r="K684" i="4"/>
  <c r="M684" i="4" s="1"/>
  <c r="H749" i="4"/>
  <c r="K749" i="4" s="1"/>
  <c r="K680" i="4"/>
  <c r="M680" i="4" s="1"/>
  <c r="J654" i="4"/>
  <c r="M537" i="4"/>
  <c r="L723" i="4"/>
  <c r="M723" i="4" s="1"/>
  <c r="K675" i="4"/>
  <c r="M675" i="4" s="1"/>
  <c r="K605" i="4"/>
  <c r="M605" i="4" s="1"/>
  <c r="M666" i="4"/>
  <c r="M677" i="4"/>
  <c r="M462" i="4"/>
  <c r="I515" i="4"/>
  <c r="M515" i="4"/>
  <c r="M503" i="4" s="1"/>
  <c r="J548" i="4"/>
  <c r="M548" i="4" s="1"/>
  <c r="M588" i="4"/>
  <c r="I764" i="4"/>
  <c r="K668" i="4"/>
  <c r="M668" i="4" s="1"/>
  <c r="M755" i="4"/>
  <c r="I750" i="4"/>
  <c r="K587" i="4"/>
  <c r="M587" i="4" s="1"/>
  <c r="L519" i="9"/>
  <c r="L690" i="4"/>
  <c r="M690" i="4" s="1"/>
  <c r="K705" i="4"/>
  <c r="M705" i="4" s="1"/>
  <c r="K592" i="4"/>
  <c r="M592" i="4" s="1"/>
  <c r="L515" i="4"/>
  <c r="L503" i="4" s="1"/>
  <c r="K713" i="4"/>
  <c r="M713" i="4" s="1"/>
  <c r="K674" i="4"/>
  <c r="M674" i="4" s="1"/>
  <c r="K557" i="4"/>
  <c r="M557" i="4" s="1"/>
  <c r="L569" i="4"/>
  <c r="J576" i="4"/>
  <c r="J539" i="4"/>
  <c r="M539" i="4" s="1"/>
  <c r="L571" i="4"/>
  <c r="M571" i="4" s="1"/>
  <c r="L654" i="4"/>
  <c r="M544" i="4"/>
  <c r="K579" i="4"/>
  <c r="M579" i="4" s="1"/>
  <c r="K636" i="4"/>
  <c r="M636" i="4" s="1"/>
  <c r="H689" i="4"/>
  <c r="K728" i="4"/>
  <c r="M728" i="4" s="1"/>
  <c r="K711" i="4"/>
  <c r="M711" i="4" s="1"/>
  <c r="K754" i="7"/>
  <c r="M750" i="7"/>
  <c r="L633" i="4"/>
  <c r="M633" i="4" s="1"/>
  <c r="L487" i="4"/>
  <c r="M487" i="4"/>
  <c r="L567" i="4"/>
  <c r="M567" i="4" s="1"/>
  <c r="K599" i="4"/>
  <c r="M599" i="4" s="1"/>
  <c r="K625" i="4"/>
  <c r="M625" i="4" s="1"/>
  <c r="H543" i="4"/>
  <c r="K556" i="4"/>
  <c r="M556" i="4" s="1"/>
  <c r="K669" i="4"/>
  <c r="M669" i="4" s="1"/>
  <c r="L647" i="4"/>
  <c r="M647" i="4" s="1"/>
  <c r="H665" i="4"/>
  <c r="K649" i="4"/>
  <c r="M649" i="4" s="1"/>
  <c r="L692" i="4"/>
  <c r="M692" i="4" s="1"/>
  <c r="L702" i="4"/>
  <c r="M702" i="4" s="1"/>
  <c r="K717" i="4"/>
  <c r="M717" i="4" s="1"/>
  <c r="K707" i="4"/>
  <c r="M707" i="4" s="1"/>
  <c r="H682" i="4"/>
  <c r="L708" i="4"/>
  <c r="M708" i="4" s="1"/>
  <c r="K734" i="4"/>
  <c r="M734" i="4" s="1"/>
  <c r="K685" i="4"/>
  <c r="M685" i="4" s="1"/>
  <c r="M746" i="6"/>
  <c r="L508" i="7"/>
  <c r="L496" i="7" s="1"/>
  <c r="L494" i="9"/>
  <c r="M576" i="9"/>
  <c r="K578" i="4"/>
  <c r="M578" i="4" s="1"/>
  <c r="L581" i="4"/>
  <c r="M581" i="4" s="1"/>
  <c r="K626" i="4"/>
  <c r="M626" i="4" s="1"/>
  <c r="L634" i="4"/>
  <c r="M634" i="4" s="1"/>
  <c r="L718" i="4"/>
  <c r="M718" i="4" s="1"/>
  <c r="I503" i="4"/>
  <c r="K555" i="4"/>
  <c r="M555" i="4" s="1"/>
  <c r="H568" i="4"/>
  <c r="L568" i="4" s="1"/>
  <c r="K583" i="4"/>
  <c r="M583" i="4" s="1"/>
  <c r="L606" i="4"/>
  <c r="M606" i="4" s="1"/>
  <c r="L629" i="4"/>
  <c r="M629" i="4" s="1"/>
  <c r="H545" i="4"/>
  <c r="L608" i="4"/>
  <c r="M608" i="4" s="1"/>
  <c r="L652" i="4"/>
  <c r="M652" i="4" s="1"/>
  <c r="L651" i="4"/>
  <c r="M651" i="4" s="1"/>
  <c r="K695" i="4"/>
  <c r="M695" i="4" s="1"/>
  <c r="L706" i="4"/>
  <c r="M706" i="4" s="1"/>
  <c r="L714" i="4"/>
  <c r="M714" i="4" s="1"/>
  <c r="K732" i="4"/>
  <c r="M732" i="4" s="1"/>
  <c r="L700" i="4"/>
  <c r="M700" i="4" s="1"/>
  <c r="K742" i="4"/>
  <c r="M742" i="4" s="1"/>
  <c r="J547" i="4"/>
  <c r="M547" i="4" s="1"/>
  <c r="K570" i="4"/>
  <c r="M570" i="4" s="1"/>
  <c r="K701" i="4"/>
  <c r="M701" i="4" s="1"/>
  <c r="L741" i="4"/>
  <c r="M741" i="4" s="1"/>
  <c r="I487" i="4"/>
  <c r="L462" i="4"/>
  <c r="K591" i="4"/>
  <c r="M591" i="4" s="1"/>
  <c r="K614" i="4"/>
  <c r="M614" i="4" s="1"/>
  <c r="K635" i="4"/>
  <c r="M635" i="4" s="1"/>
  <c r="L648" i="4"/>
  <c r="M648" i="4" s="1"/>
  <c r="K667" i="4"/>
  <c r="M667" i="4" s="1"/>
  <c r="L688" i="4"/>
  <c r="M688" i="4" s="1"/>
  <c r="L698" i="4"/>
  <c r="M698" i="4" s="1"/>
  <c r="K693" i="4"/>
  <c r="M693" i="4" s="1"/>
  <c r="K699" i="4"/>
  <c r="M699" i="4" s="1"/>
  <c r="K740" i="4"/>
  <c r="M740" i="4" s="1"/>
  <c r="K703" i="4"/>
  <c r="M703" i="4" s="1"/>
  <c r="L733" i="4"/>
  <c r="M733" i="4" s="1"/>
  <c r="I761" i="4"/>
  <c r="K758" i="6" l="1"/>
  <c r="M758" i="6" s="1"/>
  <c r="K794" i="9"/>
  <c r="M794" i="9" s="1"/>
  <c r="M540" i="4"/>
  <c r="J762" i="4"/>
  <c r="K663" i="4"/>
  <c r="M663" i="4" s="1"/>
  <c r="I654" i="4"/>
  <c r="I762" i="4" s="1"/>
  <c r="O8" i="4"/>
  <c r="O8" i="7"/>
  <c r="M761" i="4"/>
  <c r="L576" i="4"/>
  <c r="M576" i="4" s="1"/>
  <c r="L545" i="4"/>
  <c r="M545" i="4" s="1"/>
  <c r="H657" i="4"/>
  <c r="L682" i="4"/>
  <c r="L750" i="4" s="1"/>
  <c r="L762" i="4" s="1"/>
  <c r="H753" i="4"/>
  <c r="K689" i="4"/>
  <c r="M689" i="4" s="1"/>
  <c r="K665" i="4"/>
  <c r="M665" i="4" s="1"/>
  <c r="H750" i="4"/>
  <c r="J543" i="4"/>
  <c r="M543" i="4" s="1"/>
  <c r="M754" i="7"/>
  <c r="K755" i="7"/>
  <c r="M755" i="7" s="1"/>
  <c r="O8" i="6" l="1"/>
  <c r="M654" i="4"/>
  <c r="H655" i="4"/>
  <c r="O8" i="9"/>
  <c r="K750" i="4"/>
  <c r="K762" i="4" s="1"/>
  <c r="H763" i="4" s="1"/>
  <c r="I763" i="4"/>
  <c r="L764" i="4" s="1"/>
  <c r="H762" i="4"/>
  <c r="M682" i="4"/>
  <c r="M750" i="4" l="1"/>
  <c r="M762" i="4"/>
  <c r="A6" i="9" l="1"/>
  <c r="A6" i="7" l="1"/>
  <c r="A6" i="6"/>
</calcChain>
</file>

<file path=xl/sharedStrings.xml><?xml version="1.0" encoding="utf-8"?>
<sst xmlns="http://schemas.openxmlformats.org/spreadsheetml/2006/main" count="1966" uniqueCount="504">
  <si>
    <t>APSTIPRINU</t>
  </si>
  <si>
    <t>__________________________________</t>
  </si>
  <si>
    <t>(pasūtītāja paraksts un tā atšifrējums)</t>
  </si>
  <si>
    <t>Z.V.</t>
  </si>
  <si>
    <t>Nr.p.k.</t>
  </si>
  <si>
    <t>Objekta nosaukums</t>
  </si>
  <si>
    <t>Kopā:</t>
  </si>
  <si>
    <t>PVN (21%)</t>
  </si>
  <si>
    <t>PAVISAM BŪVNIECĪBAS IZMAKSAS:</t>
  </si>
  <si>
    <t>Sastādīja:</t>
  </si>
  <si>
    <t>(paraksts un tā atšifrējums, datums)</t>
  </si>
  <si>
    <t>Sertifikāta Nr.:</t>
  </si>
  <si>
    <t>PAVISAM KOPĀ:</t>
  </si>
  <si>
    <t>(darba veids vai konstruktīvā elementa nosaukums)</t>
  </si>
  <si>
    <t>Kopējā darbietilpība c/h</t>
  </si>
  <si>
    <t>Kods, tāmes Nr.</t>
  </si>
  <si>
    <t>Darba veids vai konstruktīvā elementa nosaukums</t>
  </si>
  <si>
    <t>Tai skaitā</t>
  </si>
  <si>
    <t>Darbie-tilpība (c/h)</t>
  </si>
  <si>
    <t>Virsizdevumi 15%</t>
  </si>
  <si>
    <t>t.sk. darba aizsardzība</t>
  </si>
  <si>
    <t>Peļņa 5%</t>
  </si>
  <si>
    <t>BŪVLAUKUMA IEKĀRTOŠANA UN UZTURĒŠANA</t>
  </si>
  <si>
    <t>Kods</t>
  </si>
  <si>
    <t>Darba nosaukums</t>
  </si>
  <si>
    <t>Mērvienība</t>
  </si>
  <si>
    <t xml:space="preserve">    Vienības izmaksas</t>
  </si>
  <si>
    <t>Kopā uz visu apjomu</t>
  </si>
  <si>
    <t>laika norma, c/h</t>
  </si>
  <si>
    <t>darbietilpība, c/h</t>
  </si>
  <si>
    <r>
      <t>m</t>
    </r>
    <r>
      <rPr>
        <vertAlign val="superscript"/>
        <sz val="12"/>
        <rFont val="Arial"/>
        <family val="2"/>
        <charset val="186"/>
      </rPr>
      <t>2</t>
    </r>
  </si>
  <si>
    <t>03-2</t>
  </si>
  <si>
    <t>Objekta iežogošana, īre</t>
  </si>
  <si>
    <t>t.m.</t>
  </si>
  <si>
    <t>03-3</t>
  </si>
  <si>
    <t>Biotualetes ierīkošana, īre, asenizācijas pakalpojumi</t>
  </si>
  <si>
    <t>gab.</t>
  </si>
  <si>
    <t>03-4</t>
  </si>
  <si>
    <t>Ugunsdzēsības stenda ar inventāru uzstādīšana, īre</t>
  </si>
  <si>
    <t>03-5</t>
  </si>
  <si>
    <t>Sadzīves celtniecības moduļu ierīkošana, īre</t>
  </si>
  <si>
    <t>03-6</t>
  </si>
  <si>
    <t>Būvdarbu celtniecības moduļa ierīkošana, īre</t>
  </si>
  <si>
    <t>03-7</t>
  </si>
  <si>
    <t>Sarga moduļa ierīkošana, īre</t>
  </si>
  <si>
    <t>03-8</t>
  </si>
  <si>
    <t>Objekta apgaismošanas prožektoru ierīkošana uz stabiem. pagaidu uzskaites un sadales ierīkošana</t>
  </si>
  <si>
    <t>03-10</t>
  </si>
  <si>
    <t>Pagaidu uzskaites un sadales ierīkošana celtniecības moduļu pieslēgšana</t>
  </si>
  <si>
    <t>kpl.</t>
  </si>
  <si>
    <t>03-11</t>
  </si>
  <si>
    <t>Elektrības izmaksas objektam, pagaidu elektropieslēgumu uzturēšana</t>
  </si>
  <si>
    <t>obj.</t>
  </si>
  <si>
    <t>03-12</t>
  </si>
  <si>
    <t>Materiālu, grunts apmaiņas un būvgružu transporta izdevumi:</t>
  </si>
  <si>
    <t>Tiešās izmaksas kopā:</t>
  </si>
  <si>
    <t>Pārbaudīja:</t>
  </si>
  <si>
    <t>B</t>
  </si>
  <si>
    <t>H</t>
  </si>
  <si>
    <t>BxH</t>
  </si>
  <si>
    <t xml:space="preserve"> 2x(B+H)</t>
  </si>
  <si>
    <t>Logi</t>
  </si>
  <si>
    <t>L-1 plastikāta rāmji,ar stikla paketi 1 vērtni 970x570 mm ARD-5</t>
  </si>
  <si>
    <t>L-1' plastikāta rāmji,ar stikla paketi 1 vērtni 970x570 mm ARD-5</t>
  </si>
  <si>
    <t>L-2 plastikāta rāmji,ar stikla paketi 1 vērtni 2970x570 mm ARD-5</t>
  </si>
  <si>
    <t>L-3 plastikāta rāmji,ar stikla paketi neverams  530x1770 mm ARD-5</t>
  </si>
  <si>
    <t>L-5 plastikāta rāmji,ar stikla paketi 1 vērtni  770x1770 mm ARD-5</t>
  </si>
  <si>
    <t>L-5' plastikāta rāmji,ar stikla paketi 1 vērtni  770x1770 mm ARD-5</t>
  </si>
  <si>
    <t>L-6 plastikāta rāmji,ar stikla paketi 1 vērtni 1170x1770 mm ARD-5</t>
  </si>
  <si>
    <t>L-6' plastikāta rāmji,ar stikla paketi 1 vērtni 1170x1770 mm ARD-5</t>
  </si>
  <si>
    <t>L-7 plastikāta rāmji,ar stikla paketi 2 vērtnēm 1570x1770 mm ARD-5</t>
  </si>
  <si>
    <t>L-7' plastikāta rāmji,ar stikla paketi 2 vērtnēm 1570x1770 mm ARD-5</t>
  </si>
  <si>
    <t>L-8 plastikāta rāmji,ar stikla paketi neverams 1170x2070 mm ARD-5</t>
  </si>
  <si>
    <t>L-8',L-8'' plastikāta rāmji,ar stikla paketi 1 vērtni 1170x2070 mm ARD-5</t>
  </si>
  <si>
    <t>L-9 plastikāta rāmji,stikla paketes pildījumu  970x570 mm ARD-5</t>
  </si>
  <si>
    <t>L-10 plastikāta rāmji,ar stikla paketi 2 vērtnēm 2620x2070 mm ARD-5</t>
  </si>
  <si>
    <t>L-11 plastikāta rāmji,ar stikla paketi 1 vērtni 770x3370 mm ARD-5</t>
  </si>
  <si>
    <t>L-12 plastikāta rāmji,ar stikla paketi 2 vērtnes 2620x1650 mm ARD-5</t>
  </si>
  <si>
    <t>L-13 plastikāta rāmji,ar stikla paketi 1 vērtni 920x1870 mm ARD-5</t>
  </si>
  <si>
    <t>L-14 plastikāta rāmji,ar stikla paketi neverams 1850x1570 mm ARD-5</t>
  </si>
  <si>
    <t>L-4 plastikāta rāmji,ar stikla paketi 1 vērtni 970x1770 mm ARD-5</t>
  </si>
  <si>
    <t>Stikla fasādes ARD-7,8</t>
  </si>
  <si>
    <t>SF-1 stikla fasāde alumīnija neverama 2530x2920 mm ARD-7</t>
  </si>
  <si>
    <t>SF-3 stikla fasāde alumīnija,2 vērtnēm 3470x2920 m ARD-7</t>
  </si>
  <si>
    <t>SF-5 stikla fasāde alumīnija,2 durvīm 1120x6500 m ARD-7</t>
  </si>
  <si>
    <t>SF-6 stikla fasāde alumīnija,1 durvīm 1230x6500 m ARD-7</t>
  </si>
  <si>
    <t>SF-2,2"" stikla fasāde alumīnija neverama 3020x2920 mm ARD-7</t>
  </si>
  <si>
    <t>SF-7 stikla fasāde alumīnija,4 vērtnēm 2300x6500 m ARD-6</t>
  </si>
  <si>
    <t>SF-12 stikla fasāde alumīnija,1 vērtni 970x3370 m ARD-8</t>
  </si>
  <si>
    <t>SF-11 stikla fasāde alumīnija,neverama 1100x5600 m ARD-8</t>
  </si>
  <si>
    <t>SF-4 stikla fasāde alumīnija,4 vērtnes 2300x6500 m ARD-7</t>
  </si>
  <si>
    <t>SF-8 stikla fasāde alumīnija,2 vērtnēm 700x6100 m ARD-8</t>
  </si>
  <si>
    <t>SF-9 stikla fasāde alumīnija,1 durvīm,4 vērtnē 3050x7050 m ARD-8</t>
  </si>
  <si>
    <t>SF-10 stikla fasāde alumīnija,1 durvīm,1 vērtne 1100x7380 m ARD-8</t>
  </si>
  <si>
    <t>Ārdurvis un vārti ARD-10</t>
  </si>
  <si>
    <t xml:space="preserve"> ĀD-1,plastikāta konstrukcija ar stiklojumu 1570x2570 m ĀRD-10</t>
  </si>
  <si>
    <t xml:space="preserve"> ĀD-2,plastikāta konstrukcija ar stikolojumu 980x2570 m ĀRD-10</t>
  </si>
  <si>
    <t xml:space="preserve"> ĀD-3,plastikāta konstrukcija ar stiklojumu 1770x2570 m ĀRD-10 SĒ</t>
  </si>
  <si>
    <t xml:space="preserve"> ĀD-4,plastikāta konstrukcija ar stiklojumu 1370x2070 m ĀRD-10 SĒ</t>
  </si>
  <si>
    <t xml:space="preserve"> ĀD-5,gluda plastikāta konstrukcija 970x2070 m ĀRD-10 SĒ</t>
  </si>
  <si>
    <t xml:space="preserve"> ĀD-6,gluda plastikāta konstrukcija 1770x2070 m ĀRD-10 SĒ</t>
  </si>
  <si>
    <t xml:space="preserve"> ĀD-7,plastikāta konstrukcija ar stikolojumu 970x2070 m ĀRD-10</t>
  </si>
  <si>
    <t xml:space="preserve"> V-1,paceļamie vārti 2370x2370 m ĀRD-10 SĒ</t>
  </si>
  <si>
    <t>Stiklotas starpsienas ARD-9</t>
  </si>
  <si>
    <t>A-1 stiklota starpsiena alumīnija rāmjos 2 vērtnes 2770x2920 mm ARD-9</t>
  </si>
  <si>
    <t>A-2 stiklota starpsiena saplākšņa profilos neverama 2965x2670 mm ARD-9</t>
  </si>
  <si>
    <t>A-3 stiklota starpsiena saplākšņa profilos 2 vērtnes2855x2670 mm ARD-9</t>
  </si>
  <si>
    <t>A-4 stiklota starpsiena saplākšņa profilos neverama 2100x2270 mm ARD-9</t>
  </si>
  <si>
    <t>A-5 stiklota starpsiena saplākšņa profilos 1 vērtne 2010x2270 mm ARD-9</t>
  </si>
  <si>
    <t>A-6 stiklota starpsiena saplākšņa profilos neverama 1665x2270 mm ARD-9</t>
  </si>
  <si>
    <t>A-7 stiklota starpsiena saplākšņa profilos 1 vērtne 1000x2270 mm ARD-9</t>
  </si>
  <si>
    <t xml:space="preserve">Ūdens pzemināsana  2 sūkņi                                             </t>
  </si>
  <si>
    <t>dienas</t>
  </si>
  <si>
    <t>Sūkņu iekartu montāža un demontāža</t>
  </si>
  <si>
    <t>kompl</t>
  </si>
  <si>
    <t>1, stāva plāns AR-11,AR-12</t>
  </si>
  <si>
    <t>Ieejas vestibīla un komunikāciju telpu grupa</t>
  </si>
  <si>
    <t>K1</t>
  </si>
  <si>
    <t>Vējtveris</t>
  </si>
  <si>
    <t>K2</t>
  </si>
  <si>
    <t>Vestibils ar centrālajām kāpnēm</t>
  </si>
  <si>
    <t>K3</t>
  </si>
  <si>
    <t>Lifta šahta</t>
  </si>
  <si>
    <t>K4</t>
  </si>
  <si>
    <t>Rekreācijas telpa</t>
  </si>
  <si>
    <t>K5</t>
  </si>
  <si>
    <t>Gaitenis</t>
  </si>
  <si>
    <t>K6</t>
  </si>
  <si>
    <t>K7</t>
  </si>
  <si>
    <t>K8</t>
  </si>
  <si>
    <t>Siltumtīkla ievadtelpa</t>
  </si>
  <si>
    <t>K9</t>
  </si>
  <si>
    <t>WC</t>
  </si>
  <si>
    <t>K10</t>
  </si>
  <si>
    <t>K11</t>
  </si>
  <si>
    <t>K12</t>
  </si>
  <si>
    <t>Evakuācijas kāpņu telpa</t>
  </si>
  <si>
    <t>K13</t>
  </si>
  <si>
    <t>K14</t>
  </si>
  <si>
    <t>Administrācijas telpu grupa</t>
  </si>
  <si>
    <t>A1</t>
  </si>
  <si>
    <t>Biroja administratora kabinets</t>
  </si>
  <si>
    <t>A2</t>
  </si>
  <si>
    <t>Grāmatvedības un personāla daļas kabinets</t>
  </si>
  <si>
    <t>A3</t>
  </si>
  <si>
    <t>Galvenā ārsta kabinets</t>
  </si>
  <si>
    <t>A4</t>
  </si>
  <si>
    <t>Personāla garderobe</t>
  </si>
  <si>
    <t>A5</t>
  </si>
  <si>
    <t>Sanāksmju telpa</t>
  </si>
  <si>
    <t>Neatliekamās medicīnas palīdzības un užnemšanas nodaļas telpu grupa</t>
  </si>
  <si>
    <t>U1</t>
  </si>
  <si>
    <t>Reģistratūra ar garderobi</t>
  </si>
  <si>
    <t>U2</t>
  </si>
  <si>
    <t>Mazā satikšanās telpa</t>
  </si>
  <si>
    <t>U3</t>
  </si>
  <si>
    <t>U4</t>
  </si>
  <si>
    <t>Procedūru un ekspress-diagnostikas kabinets</t>
  </si>
  <si>
    <t>U5</t>
  </si>
  <si>
    <t>Ārsta un vakcinācijas kbinets</t>
  </si>
  <si>
    <t>U6</t>
  </si>
  <si>
    <t>Izolācijas telpa</t>
  </si>
  <si>
    <t>U7</t>
  </si>
  <si>
    <t>WC ar dušu</t>
  </si>
  <si>
    <t>U8</t>
  </si>
  <si>
    <t>Netīrās veļas konteinera telpa</t>
  </si>
  <si>
    <t>Medicīnas personāla telpu grupa</t>
  </si>
  <si>
    <t>M1</t>
  </si>
  <si>
    <t>Galvenās māsas kabinets</t>
  </si>
  <si>
    <t>M2</t>
  </si>
  <si>
    <t>Medikamentu glabātuve</t>
  </si>
  <si>
    <t>M3</t>
  </si>
  <si>
    <t>Arhīvs</t>
  </si>
  <si>
    <t>M4</t>
  </si>
  <si>
    <t>Medicīnas personāla atpūtas telpa</t>
  </si>
  <si>
    <t>M5</t>
  </si>
  <si>
    <t>Sociālā darbinieka kabinets</t>
  </si>
  <si>
    <t>M6</t>
  </si>
  <si>
    <t>Medicīnas personāla garderobe 6 cilvēkiem</t>
  </si>
  <si>
    <t>M7</t>
  </si>
  <si>
    <t>Duša</t>
  </si>
  <si>
    <t>M8</t>
  </si>
  <si>
    <t>M9</t>
  </si>
  <si>
    <t>Medicīnas personāla garderobe 20 cilvēkiem</t>
  </si>
  <si>
    <t>M10</t>
  </si>
  <si>
    <t>M11</t>
  </si>
  <si>
    <t>M12</t>
  </si>
  <si>
    <t>M13</t>
  </si>
  <si>
    <t>Ārsta kabinets</t>
  </si>
  <si>
    <t>M14</t>
  </si>
  <si>
    <t>M15</t>
  </si>
  <si>
    <t>M16</t>
  </si>
  <si>
    <t>M17</t>
  </si>
  <si>
    <t>M18</t>
  </si>
  <si>
    <t>Servera telpa</t>
  </si>
  <si>
    <t>Rehabilitācijas un nodarbību  telpu grupa</t>
  </si>
  <si>
    <t>R1</t>
  </si>
  <si>
    <t>Masāžas kabinets</t>
  </si>
  <si>
    <t>R2</t>
  </si>
  <si>
    <t>Ūdens terapijas telpa</t>
  </si>
  <si>
    <t>R3</t>
  </si>
  <si>
    <t>R4</t>
  </si>
  <si>
    <t>Sporta terapijas telpa</t>
  </si>
  <si>
    <t>R5</t>
  </si>
  <si>
    <t>Sporta inventāra telpa</t>
  </si>
  <si>
    <t>Ēdnīcas  telpu grupa</t>
  </si>
  <si>
    <t>E1</t>
  </si>
  <si>
    <t>Ēdamzāle</t>
  </si>
  <si>
    <t>E2</t>
  </si>
  <si>
    <t>Karstais cehs</t>
  </si>
  <si>
    <t>E3</t>
  </si>
  <si>
    <t>Trauku mazgātauve</t>
  </si>
  <si>
    <t>E4</t>
  </si>
  <si>
    <t>Aukstais cehs</t>
  </si>
  <si>
    <t>E5</t>
  </si>
  <si>
    <t>Sakņu pirmapstrādes telpa</t>
  </si>
  <si>
    <t>E6</t>
  </si>
  <si>
    <t>Sauso produktu noliktava</t>
  </si>
  <si>
    <t>E7</t>
  </si>
  <si>
    <t>Virtuves personāla garderobe 3 cilvēkiem</t>
  </si>
  <si>
    <t>E8</t>
  </si>
  <si>
    <t>E9</t>
  </si>
  <si>
    <t>E10</t>
  </si>
  <si>
    <t>E11</t>
  </si>
  <si>
    <t>Saimniecības telpu grupa</t>
  </si>
  <si>
    <t>S1</t>
  </si>
  <si>
    <t>Saimniecības māsas kabinets</t>
  </si>
  <si>
    <t>S2</t>
  </si>
  <si>
    <t>Saimniecības personāla atpūtas telpa</t>
  </si>
  <si>
    <t>S3</t>
  </si>
  <si>
    <t>Saimniecības personāla garderobe 5 cilvēkiem</t>
  </si>
  <si>
    <t>S4</t>
  </si>
  <si>
    <t>S5</t>
  </si>
  <si>
    <t>S6</t>
  </si>
  <si>
    <t>Saimniecības inventār glabātuve</t>
  </si>
  <si>
    <t>S7</t>
  </si>
  <si>
    <t>Apkopēja inventāra telpa</t>
  </si>
  <si>
    <t>S8</t>
  </si>
  <si>
    <t>Saimniecības personāla garderobe 10 cilvēkiem</t>
  </si>
  <si>
    <t>S9</t>
  </si>
  <si>
    <t>S10</t>
  </si>
  <si>
    <t>S11</t>
  </si>
  <si>
    <t>S12</t>
  </si>
  <si>
    <t>Pacientu mantu glabātuve</t>
  </si>
  <si>
    <t>Saimniecības ēka AR-12</t>
  </si>
  <si>
    <t>Garāža</t>
  </si>
  <si>
    <t>Veļas mazgātava</t>
  </si>
  <si>
    <t>Darbnīca</t>
  </si>
  <si>
    <t>Saimniecības priekšmetu glabātuve</t>
  </si>
  <si>
    <t>Apkures katlu telpa</t>
  </si>
  <si>
    <t>Cisternuu telpa</t>
  </si>
  <si>
    <t>2, stāva plāns AR-13</t>
  </si>
  <si>
    <t>Vestibila un komunikāciju  telpu grupa</t>
  </si>
  <si>
    <t>Kāpņu telpa</t>
  </si>
  <si>
    <t>Tehniskā telpa</t>
  </si>
  <si>
    <t>Rehabilitācijas un nodarbību telpu grupa</t>
  </si>
  <si>
    <t>Mūzikas,tēlotājmākslas,rokdarbu un spēļu terapijasa telpa</t>
  </si>
  <si>
    <t>Smilšu terapijas un autistu telpa</t>
  </si>
  <si>
    <t>Mācību klase</t>
  </si>
  <si>
    <t>R6</t>
  </si>
  <si>
    <t>R7</t>
  </si>
  <si>
    <t>Kapella</t>
  </si>
  <si>
    <t>R8</t>
  </si>
  <si>
    <t>Biblioteka</t>
  </si>
  <si>
    <t>R9</t>
  </si>
  <si>
    <t>R10</t>
  </si>
  <si>
    <t>Apkopējas inventāra telpa</t>
  </si>
  <si>
    <t>Stacionāra telpas</t>
  </si>
  <si>
    <t>P1</t>
  </si>
  <si>
    <t>Dežurējošo medicīnas personāla telpa</t>
  </si>
  <si>
    <t>P2</t>
  </si>
  <si>
    <t>Tīrās veļas glabātuve</t>
  </si>
  <si>
    <t>P3</t>
  </si>
  <si>
    <t>Palātu bloks zēniem</t>
  </si>
  <si>
    <t>P4</t>
  </si>
  <si>
    <t>Medicīnas manipulāciju telpa</t>
  </si>
  <si>
    <t>P5</t>
  </si>
  <si>
    <t>Četrvietīga palāta</t>
  </si>
  <si>
    <t>P6</t>
  </si>
  <si>
    <t>P7</t>
  </si>
  <si>
    <t>P8</t>
  </si>
  <si>
    <t>P9</t>
  </si>
  <si>
    <t>Trīsvietīga palāta</t>
  </si>
  <si>
    <t>P10</t>
  </si>
  <si>
    <t>P11</t>
  </si>
  <si>
    <t>P12</t>
  </si>
  <si>
    <t>P13</t>
  </si>
  <si>
    <t>P14</t>
  </si>
  <si>
    <t>P15</t>
  </si>
  <si>
    <t>P16</t>
  </si>
  <si>
    <t>P17</t>
  </si>
  <si>
    <t>Divvietīga palāta</t>
  </si>
  <si>
    <t>P18</t>
  </si>
  <si>
    <t>P19</t>
  </si>
  <si>
    <t>Vienvietīga palāta</t>
  </si>
  <si>
    <t>P20</t>
  </si>
  <si>
    <t>P21</t>
  </si>
  <si>
    <t>P22</t>
  </si>
  <si>
    <t>P23</t>
  </si>
  <si>
    <t>P24</t>
  </si>
  <si>
    <t>P25</t>
  </si>
  <si>
    <t>P26</t>
  </si>
  <si>
    <t>P27</t>
  </si>
  <si>
    <t>P28</t>
  </si>
  <si>
    <t>P29</t>
  </si>
  <si>
    <t>P30</t>
  </si>
  <si>
    <t>P31</t>
  </si>
  <si>
    <t>P32</t>
  </si>
  <si>
    <t>P33</t>
  </si>
  <si>
    <t>P34</t>
  </si>
  <si>
    <t>P35</t>
  </si>
  <si>
    <t>P36</t>
  </si>
  <si>
    <t>P37</t>
  </si>
  <si>
    <t>Netīrās veļas kanāla telpa</t>
  </si>
  <si>
    <t>Palātu bloks meitenēm</t>
  </si>
  <si>
    <t>P38</t>
  </si>
  <si>
    <t>P39</t>
  </si>
  <si>
    <t>P40</t>
  </si>
  <si>
    <t>P41</t>
  </si>
  <si>
    <t>P42</t>
  </si>
  <si>
    <t>P43</t>
  </si>
  <si>
    <t>P44</t>
  </si>
  <si>
    <t>P45</t>
  </si>
  <si>
    <t>P46</t>
  </si>
  <si>
    <t>P47</t>
  </si>
  <si>
    <t>P48</t>
  </si>
  <si>
    <t>P49</t>
  </si>
  <si>
    <t>P50</t>
  </si>
  <si>
    <t>P51</t>
  </si>
  <si>
    <t>P52</t>
  </si>
  <si>
    <t>P53</t>
  </si>
  <si>
    <t>P54</t>
  </si>
  <si>
    <t>P55</t>
  </si>
  <si>
    <t>P56</t>
  </si>
  <si>
    <t>P57</t>
  </si>
  <si>
    <t>P58</t>
  </si>
  <si>
    <t>P59</t>
  </si>
  <si>
    <t>P60</t>
  </si>
  <si>
    <t>P61</t>
  </si>
  <si>
    <t>P62</t>
  </si>
  <si>
    <t>P63</t>
  </si>
  <si>
    <t>P64</t>
  </si>
  <si>
    <t>Netīrās veļas kanļa telpa</t>
  </si>
  <si>
    <t>Bēninu stāva plāns AR-14</t>
  </si>
  <si>
    <t>Bēniņi</t>
  </si>
  <si>
    <t>Ventkamera</t>
  </si>
  <si>
    <t>Ēkas kopējā platiba</t>
  </si>
  <si>
    <r>
      <t>m</t>
    </r>
    <r>
      <rPr>
        <vertAlign val="superscript"/>
        <sz val="12"/>
        <rFont val="Arial"/>
        <family val="2"/>
        <charset val="186"/>
      </rPr>
      <t>3</t>
    </r>
  </si>
  <si>
    <t>m</t>
  </si>
  <si>
    <t>27-0002</t>
  </si>
  <si>
    <t>27-0003</t>
  </si>
  <si>
    <t>27-0004</t>
  </si>
  <si>
    <t>27-0005</t>
  </si>
  <si>
    <t>27-0006</t>
  </si>
  <si>
    <t>18-00047</t>
  </si>
  <si>
    <t>0,4 kV kabeļi</t>
  </si>
  <si>
    <t>18-00051</t>
  </si>
  <si>
    <t>Montāžas materiāli</t>
  </si>
  <si>
    <t>Apgaismes ķermeņi</t>
  </si>
  <si>
    <t>Nojaukšanas darbi</t>
  </si>
  <si>
    <t>31-00001</t>
  </si>
  <si>
    <t>31-00003</t>
  </si>
  <si>
    <t>31-00005</t>
  </si>
  <si>
    <t>31-00006</t>
  </si>
  <si>
    <t>31-00007</t>
  </si>
  <si>
    <t>31-00008</t>
  </si>
  <si>
    <t>31-00010</t>
  </si>
  <si>
    <t>31-00011</t>
  </si>
  <si>
    <t>31-00012</t>
  </si>
  <si>
    <t xml:space="preserve">m </t>
  </si>
  <si>
    <t>31-00013</t>
  </si>
  <si>
    <t>31-00014</t>
  </si>
  <si>
    <t>31-00015</t>
  </si>
  <si>
    <t>31-00016</t>
  </si>
  <si>
    <t>31-00017</t>
  </si>
  <si>
    <t>31-00018</t>
  </si>
  <si>
    <t>31-00019</t>
  </si>
  <si>
    <t>31-00020</t>
  </si>
  <si>
    <t>31-00022</t>
  </si>
  <si>
    <t>31-00023</t>
  </si>
  <si>
    <t>31-00024</t>
  </si>
  <si>
    <t>31-00025</t>
  </si>
  <si>
    <t>31-00026</t>
  </si>
  <si>
    <t>Objekta izmaksas (EUR)</t>
  </si>
  <si>
    <t>Tāmes izmaksas (EUR)</t>
  </si>
  <si>
    <t>Darba alga (EUR)</t>
  </si>
  <si>
    <t>Materiāli (EUR)</t>
  </si>
  <si>
    <t>Mehānismi (EUR)</t>
  </si>
  <si>
    <t>darba samaksas likme, EUR/h</t>
  </si>
  <si>
    <t>darba alga, EUR</t>
  </si>
  <si>
    <t>materiāli, EUR</t>
  </si>
  <si>
    <t>mehānismi, EUR</t>
  </si>
  <si>
    <t>kopā, EUR</t>
  </si>
  <si>
    <t>summa, EUR</t>
  </si>
  <si>
    <t>Tāmes izmaksas (EUR):</t>
  </si>
  <si>
    <t>Par kopējo summu, EUR</t>
  </si>
  <si>
    <t>Darba devēja sociālais nodoklis (23,59%)</t>
  </si>
  <si>
    <t>Būvlaukuma iekārtošana un uzturēšana</t>
  </si>
  <si>
    <t>1-1/1</t>
  </si>
  <si>
    <t>1-4/1</t>
  </si>
  <si>
    <t>1-2/1</t>
  </si>
  <si>
    <t>Lokālā tāme Nr.1-1/1</t>
  </si>
  <si>
    <t>Lokālā tāme Nr.1-2/1</t>
  </si>
  <si>
    <t>Lokālā tāme Nr.1-3/1</t>
  </si>
  <si>
    <t>Lokālā tāme Nr.1-4/1</t>
  </si>
  <si>
    <t>Objekta nosaukums un adrese: Skvēru un piegulošās teritorijas labiekārtojums, 1.kārta,  Rīgas ielā 101 un 103, Līvānos</t>
  </si>
  <si>
    <t>Pasūtījuma Nr.:             16-02</t>
  </si>
  <si>
    <t>2016. gada ___. _______________________</t>
  </si>
  <si>
    <t>KOPSAVILKUMA APRĒĶINI PA DARBU VAI KONSTRUKTĪVO ELEMENTU VEIDIEM</t>
  </si>
  <si>
    <r>
      <t xml:space="preserve">Tāme sastādīta </t>
    </r>
    <r>
      <rPr>
        <b/>
        <sz val="12"/>
        <rFont val="Arial"/>
        <family val="2"/>
        <charset val="186"/>
      </rPr>
      <t xml:space="preserve">2016. </t>
    </r>
    <r>
      <rPr>
        <sz val="12"/>
        <rFont val="Arial"/>
        <family val="2"/>
        <charset val="186"/>
      </rPr>
      <t>gada tirgus cenās, pamatojoties uz GP, EL</t>
    </r>
    <r>
      <rPr>
        <b/>
        <sz val="12"/>
        <rFont val="Arial"/>
        <family val="2"/>
        <charset val="186"/>
      </rPr>
      <t>T</t>
    </r>
    <r>
      <rPr>
        <sz val="12"/>
        <rFont val="Arial"/>
        <family val="2"/>
        <charset val="186"/>
      </rPr>
      <t xml:space="preserve"> daļas rasējumiem</t>
    </r>
  </si>
  <si>
    <r>
      <t xml:space="preserve">Tāme sastādīta </t>
    </r>
    <r>
      <rPr>
        <b/>
        <sz val="12"/>
        <rFont val="Arial"/>
        <family val="2"/>
        <charset val="186"/>
      </rPr>
      <t xml:space="preserve">2016. </t>
    </r>
    <r>
      <rPr>
        <sz val="12"/>
        <rFont val="Arial"/>
        <family val="2"/>
        <charset val="186"/>
      </rPr>
      <t xml:space="preserve">gada tirgus cenās, pamatojoties uz </t>
    </r>
    <r>
      <rPr>
        <b/>
        <sz val="12"/>
        <rFont val="Arial"/>
        <family val="2"/>
        <charset val="186"/>
      </rPr>
      <t>DOP</t>
    </r>
    <r>
      <rPr>
        <sz val="12"/>
        <rFont val="Arial"/>
        <family val="2"/>
        <charset val="186"/>
      </rPr>
      <t xml:space="preserve"> daļas rasējumiem</t>
    </r>
  </si>
  <si>
    <t>Daudzums</t>
  </si>
  <si>
    <r>
      <t xml:space="preserve">Tāme sastādīta </t>
    </r>
    <r>
      <rPr>
        <b/>
        <sz val="12"/>
        <rFont val="Arial"/>
        <family val="2"/>
        <charset val="186"/>
      </rPr>
      <t xml:space="preserve">2016. </t>
    </r>
    <r>
      <rPr>
        <sz val="12"/>
        <rFont val="Arial"/>
        <family val="2"/>
        <charset val="186"/>
      </rPr>
      <t>gada tirgus cenās, pamatojoties uz GP daļas rasējumiem</t>
    </r>
  </si>
  <si>
    <t>BŪVNIECĪBAS KOPTĀME</t>
  </si>
  <si>
    <t>LK sistēmas instalācijas palīgmateriāli (signalizācijas lenta 70m, izolācijas materiāli un stiprinājumi)</t>
  </si>
  <si>
    <t>Pievienošanās esošai LK sistēmai (akai LKE)</t>
  </si>
  <si>
    <t>vieta</t>
  </si>
  <si>
    <t>Izbūvētās sistēmas pārbaude un izpildizmērījumu veikšana</t>
  </si>
  <si>
    <t>objekts</t>
  </si>
  <si>
    <t>Lietus kanalizācijas caurule PP, diam. 200/175x4,7mm; SN8 (T8); NE 13476 (Uponor IQ), un montāža</t>
  </si>
  <si>
    <t>Lietus kanalizācijas izbūve</t>
  </si>
  <si>
    <t>LIETUS KANALIZĀCIJAS IZBŪVE</t>
  </si>
  <si>
    <t>NOJAUKŠANAS UN LABIEKĀRTOŠANAS DARBI</t>
  </si>
  <si>
    <t>Lietusūdens kanalizācija</t>
  </si>
  <si>
    <t>Nojaukšanas un labiekārtošanas darbi</t>
  </si>
  <si>
    <t>Asfaltbetona seguma demontāža, iekraušana transporta līdzeklī un aizvešana uz izgāztuvi</t>
  </si>
  <si>
    <t>Zemes darbi</t>
  </si>
  <si>
    <t>Esošās grunts pamatnes norakšana h=400 un aizvešana atbērtnē</t>
  </si>
  <si>
    <t>Esošās grunts pamatnes norakšana h=450 un aizvešana atbērtnē</t>
  </si>
  <si>
    <t>Salizturīgas smilts pamatnes ierīkošana zem betona apmalēm</t>
  </si>
  <si>
    <t>Bruģēšanas darbi gājēju ietvēm</t>
  </si>
  <si>
    <t>Bruģēšanas darbi brauktuvei un autostāvvietām</t>
  </si>
  <si>
    <t>Šķelta laukakmens bruģa ieklāšana; laukakmens izmērs 10-15 cm diametrā</t>
  </si>
  <si>
    <t>Velostatīva uzstādīšana; h=80cm; lokveida; no tērauda kvadrātcaurules 50x50mm, cinkota unpulverkrāsota; tonis RAL 6016</t>
  </si>
  <si>
    <t>Betona apmaļu uzstādīšana</t>
  </si>
  <si>
    <t>Apmaļu montāža; rūpnieciski izgatavotas apmales BR.100.30.15; LVS EN 1340:2004</t>
  </si>
  <si>
    <t>Apmaļu montāža; rūpnieciski izgatavotas apmales BR.100.20.8; LVS EN 1340:2004</t>
  </si>
  <si>
    <t>Apmaļu montāža; rūpnieciski izgatavotas apmales BR.100.22.15; LVS EN 1340:2004</t>
  </si>
  <si>
    <t>Pabetonējums zem betona apmalēm; betons C16/20 (B15)</t>
  </si>
  <si>
    <t xml:space="preserve">Blietētu dolomīta šķembu slāņa izbūve; h= 150 mm; maisījuma fr. 0/45; LVS EN 13242+A1:2009
</t>
  </si>
  <si>
    <t>Blietētu dolomīta šķembu slāņa izbūve; h= 120 mm; maisījuma fr. 20/70; LVS EN 13242+A1:2009</t>
  </si>
  <si>
    <t>Blietētu dolomīta šķembu slāņa izbūve; h= 80 mm; maisījuma fr. 0/45; LVS EN 13242+A1:2009</t>
  </si>
  <si>
    <t>Blietētas smilts salizturīgās kārtas izbūve;  h=200 mm; LVS EN 13242+A1:2007</t>
  </si>
  <si>
    <t>Vasaras puķu stādījums</t>
  </si>
  <si>
    <t>Dzīvžoga (paralēli pie skolas fasādes) likvidēšana</t>
  </si>
  <si>
    <t>Labiekārtojuma iekārtu uzstādīšana</t>
  </si>
  <si>
    <t>Apzaļumošanas darbi</t>
  </si>
  <si>
    <t>Lapu krūma Klinšrozīte parastā /Potentilla fruticosa 'Abbotswood'/ stādījuma ierīkošana</t>
  </si>
  <si>
    <t>Lapu krūma Klinšrozīte parastā /Potentilla fruticosa 'Goldfinger'/ stādījuma ierīkošana</t>
  </si>
  <si>
    <t>Lapu krūma Spirejas /Spirea japonica 'Little Princess'/ stādījuma ierīkošana</t>
  </si>
  <si>
    <t>Lapu krūma Spirejas /Spirea japonica 'Goldflame'/ stādījuma ierīkošana</t>
  </si>
  <si>
    <t>Lapu krūma Fizokarpa /Physocarpus opulifolius 'Diabolo'/ stādījuma ierīkošana</t>
  </si>
  <si>
    <t>Lapu krūma Spirejas /Spirea japonica 'Anthony Waterer'/ stādījuma ierīkošana</t>
  </si>
  <si>
    <t>Stādījumu augsnes mulčēšana ar skuju koku mizu mulču; h=50mm</t>
  </si>
  <si>
    <t>Krūmu stādījumu augsnes ielabošana ar trūdzemes un kūdras maisījumu; h=300mm</t>
  </si>
  <si>
    <t>Uzlabotas melnzemes-kūdras maisījuma ierīkošana jaunajam zālienam; zāliena ierīkošana; sēklu maisījums "Universiāls"</t>
  </si>
  <si>
    <t>31-00002</t>
  </si>
  <si>
    <t>Betona apmaļu demontāža, iekraušana transporta līdzeklī un aizvešana uz izgāztuvi</t>
  </si>
  <si>
    <t>Melnzemes 1m platas joslas norakšana gar betonējamām apmalēm un ar laukakmeņiem nostiprināmām stāvvietu malām; h=0,1m</t>
  </si>
  <si>
    <t>Apmaļu montāža; rūpnieciski izgatavotas apmales BR.100.30/22.15; LVS EN 1340:2004</t>
  </si>
  <si>
    <t>Bruģakmens ieklāšana ieskaitot piegriešanu un šuvju aizpildīšanu ar skalotu smilti; betona bruģakmens 198x 98x 60 mm, pelēks; LVS EN 1338:2004</t>
  </si>
  <si>
    <t>Bruģakmens ieklāšana ieskaitot piegriešanu un šuvju aizpildīšanu ar skalotu smilti; betona bruģakmens 198x 98x 60 mm, dzeltens; LVS EN 1338:2004</t>
  </si>
  <si>
    <t>Bruģakmens ieklāšana ieskaitot piegriešanu un šuvju aizpildīšanu ar skalotu smilti; betona bruģakmens 198x 98x 60 mm, melns; LVS EN 1338:2004</t>
  </si>
  <si>
    <t>Oļu seguma ierīkošana:oļi 5cm, ģeotekstils zem oļu kārtas</t>
  </si>
  <si>
    <t>Bruģakmens ieklāšana ieskaitot piegriešanu un šuvju aizpildīšanu ar skalotu smilti; betona bruģakmens 198x 98x 80 mm, pelēks; LVS EN 1338:2004</t>
  </si>
  <si>
    <t>Bruģakmens ieklāšana ieskaitot piegriešanu un šuvju aizpildīšanu ar skalotu smilti; betona bruģakmens 198x 98x 80 mm, sarkans; LVS EN 1338:2004</t>
  </si>
  <si>
    <t>1-3/1</t>
  </si>
  <si>
    <t>Ūdensvada pagaidu pieslēgums un ūdens patēriņa izmaksas</t>
  </si>
  <si>
    <t>Repera ierīkošana un objekta nospraušana</t>
  </si>
  <si>
    <t>Izpilduzmērījumu veikšana un izpilddokumentācijas kārtošana</t>
  </si>
  <si>
    <t>03-1</t>
  </si>
  <si>
    <t>03-9</t>
  </si>
  <si>
    <t>31-00004</t>
  </si>
  <si>
    <t>31-00009</t>
  </si>
  <si>
    <t>31-00021</t>
  </si>
  <si>
    <t>31-00027</t>
  </si>
  <si>
    <t>31-00028</t>
  </si>
  <si>
    <t>31-00029</t>
  </si>
  <si>
    <t>31-00030</t>
  </si>
  <si>
    <t>31-00031</t>
  </si>
  <si>
    <t>31-00032</t>
  </si>
  <si>
    <t>31-00033</t>
  </si>
  <si>
    <t>31-00034</t>
  </si>
  <si>
    <t>31-00035</t>
  </si>
  <si>
    <t>31-00036</t>
  </si>
  <si>
    <t>31-00037</t>
  </si>
  <si>
    <t>31-00038</t>
  </si>
  <si>
    <t>Lietus kanalizācijas uztveršanas aka, iebūvējama zem brauktuves, diam. 400 mm, h=3,0m, ar nosēddaļu, regulējamu galvu; vāks ar resti (EVOPIPES CRS 400/315); un montāža</t>
  </si>
  <si>
    <t>Tranšejas rakšana un aizbēršana atbilstoši caurules ieguldes klasei SN8 (T8), saskaņā ar ražotāju instrukciju</t>
  </si>
  <si>
    <t>Esošo aku vāku augstuma regulēšana</t>
  </si>
  <si>
    <t>27-0001</t>
  </si>
  <si>
    <t>27-0007</t>
  </si>
  <si>
    <t>27-0008</t>
  </si>
  <si>
    <r>
      <t xml:space="preserve">Tāme sastādīta </t>
    </r>
    <r>
      <rPr>
        <b/>
        <sz val="12"/>
        <rFont val="Arial"/>
        <family val="2"/>
        <charset val="186"/>
      </rPr>
      <t xml:space="preserve">2016. </t>
    </r>
    <r>
      <rPr>
        <sz val="12"/>
        <rFont val="Arial"/>
        <family val="2"/>
        <charset val="186"/>
      </rPr>
      <t xml:space="preserve">gada tirgus cenās, pamatojoties uz </t>
    </r>
    <r>
      <rPr>
        <b/>
        <sz val="12"/>
        <rFont val="Arial"/>
        <family val="2"/>
        <charset val="186"/>
      </rPr>
      <t>GP, LKT</t>
    </r>
    <r>
      <rPr>
        <sz val="12"/>
        <rFont val="Arial"/>
        <family val="2"/>
        <charset val="186"/>
      </rPr>
      <t xml:space="preserve"> daļas rasējumiem</t>
    </r>
  </si>
  <si>
    <t>Esošo gaismekļu demontāža un LED ielu gaismeklis 48W 4700lm IP65 LD48 (Shenzhen Bang-Bell Electronics Co., Ltd.) montāža uz esošajiem stabiem</t>
  </si>
  <si>
    <t>Kabeļu montāžas materiāli (stiprinājumi, skavas u.c.)</t>
  </si>
  <si>
    <t>Kabelis NYY- J 3x2.5, iekštipa, monolītais, vara dzīslas</t>
  </si>
  <si>
    <t>TERITORIJAS APGAISMOJUMS</t>
  </si>
  <si>
    <t>Teritorijas apgaismojums</t>
  </si>
  <si>
    <t>18-00052</t>
  </si>
  <si>
    <t>Melnzemes aizvešana atbērtnē labiekārtojuma robežās</t>
  </si>
  <si>
    <t>Pievienošanās esošai LK sistēmai (akai LKE); Blīvējums EN 681-1</t>
  </si>
  <si>
    <t>Smilts izlīdzinošā slāņa ierīkošana; h=50 mm; smilts fr.0/2; LVS EN 13242+A1:2009</t>
  </si>
  <si>
    <t>Piezīme. Materiālu izmaksām papildus ņemt vērā piegriešanai un atbirumiem nepieciešamos apjomus atbilstoši darbu veicēju pieredzei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</si>
</sst>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m&quot;ont&quot;h\ d&quot;, &quot;yyyy"/>
    <numFmt numFmtId="165" formatCode="_(* #,##0_);_(* \(#,##0\);_(* \-_);_(@_)"/>
    <numFmt numFmtId="166" formatCode="_-[$€-2]\ * #,##0.00_-;\-[$€-2]\ * #,##0.00_-;_-[$€-2]\ * \-??_-"/>
    <numFmt numFmtId="167" formatCode="#.00"/>
    <numFmt numFmtId="168" formatCode="#."/>
    <numFmt numFmtId="169" formatCode="&quot;See Note  &quot;#"/>
    <numFmt numFmtId="170" formatCode="_(\$* #,##0_);_(\$* \(#,##0\);_(\$* \-_);_(@_)"/>
    <numFmt numFmtId="171" formatCode="_-* #,##0_-;\-* #,##0_-;_-* \-_-;_-@_-"/>
    <numFmt numFmtId="172" formatCode="_-* #,##0\$_-;\-* #,##0\$_-;_-* &quot;-$&quot;_-;_-@_-"/>
    <numFmt numFmtId="173" formatCode="_-* #,##0.00\$_-;\-* #,##0.00\$_-;_-* \-??\$_-;_-@_-"/>
    <numFmt numFmtId="174" formatCode="_-* #,##0.00\ _L_s_-;\-* #,##0.00\ _L_s_-;_-* \-??\ _L_s_-;_-@_-"/>
    <numFmt numFmtId="175" formatCode="&quot;Ls &quot;#,##0.00;&quot;-Ls &quot;#,##0.00"/>
    <numFmt numFmtId="176" formatCode="_(* #,##0.00_);_(* \(#,##0.00\);_(* \-??_);_(@_)"/>
    <numFmt numFmtId="177" formatCode="_-* #,##0.00_-;\-* #,##0.00_-;_-* \-??_-;_-@_-"/>
    <numFmt numFmtId="178" formatCode="0_)"/>
    <numFmt numFmtId="179" formatCode="0.00_)"/>
    <numFmt numFmtId="180" formatCode="0.000"/>
    <numFmt numFmtId="181" formatCode="0.000_)"/>
    <numFmt numFmtId="182" formatCode="0.0%"/>
    <numFmt numFmtId="183" formatCode="_(* ###0.00_);_(* \(###0.00\);_(* \-??_);_(@_)"/>
    <numFmt numFmtId="184" formatCode="_-* #,##0.00_-;\-* #,##0.00_-;_-* &quot;-&quot;??????_-;_-@_-"/>
  </numFmts>
  <fonts count="67">
    <font>
      <sz val="12"/>
      <name val="Courier New"/>
      <family val="3"/>
      <charset val="186"/>
    </font>
    <font>
      <sz val="10"/>
      <name val="Arial"/>
      <family val="2"/>
      <charset val="238"/>
    </font>
    <font>
      <sz val="1"/>
      <color indexed="8"/>
      <name val="Courier New"/>
      <family val="3"/>
      <charset val="186"/>
    </font>
    <font>
      <sz val="10"/>
      <name val="Baltica"/>
      <charset val="186"/>
    </font>
    <font>
      <b/>
      <sz val="1"/>
      <color indexed="8"/>
      <name val="Courier New"/>
      <family val="3"/>
      <charset val="186"/>
    </font>
    <font>
      <b/>
      <sz val="18"/>
      <name val="ITCCenturyBookT"/>
      <charset val="186"/>
    </font>
    <font>
      <b/>
      <sz val="14"/>
      <name val="ITCCenturyBookT"/>
      <charset val="186"/>
    </font>
    <font>
      <sz val="14"/>
      <name val="ITCCenturyBookT"/>
      <charset val="186"/>
    </font>
    <font>
      <sz val="10"/>
      <name val="Arial"/>
      <family val="2"/>
      <charset val="186"/>
    </font>
    <font>
      <sz val="9"/>
      <name val="TextBook"/>
      <charset val="186"/>
    </font>
    <font>
      <sz val="8"/>
      <name val="Arial"/>
      <family val="2"/>
      <charset val="186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186"/>
    </font>
    <font>
      <sz val="10"/>
      <name val="Arial"/>
      <family val="2"/>
      <charset val="204"/>
    </font>
    <font>
      <b/>
      <sz val="12"/>
      <name val="Arial"/>
      <family val="2"/>
      <charset val="186"/>
    </font>
    <font>
      <b/>
      <u/>
      <sz val="14"/>
      <name val="Arial"/>
      <family val="2"/>
      <charset val="204"/>
    </font>
    <font>
      <i/>
      <sz val="10"/>
      <name val="Arial"/>
      <family val="2"/>
      <charset val="204"/>
    </font>
    <font>
      <sz val="12"/>
      <color indexed="8"/>
      <name val="Arial"/>
      <family val="2"/>
      <charset val="204"/>
    </font>
    <font>
      <i/>
      <sz val="12"/>
      <name val="Arial"/>
      <family val="2"/>
      <charset val="204"/>
    </font>
    <font>
      <b/>
      <sz val="14"/>
      <name val="Arial"/>
      <family val="2"/>
      <charset val="186"/>
    </font>
    <font>
      <b/>
      <u/>
      <sz val="14"/>
      <name val="Arial"/>
      <family val="2"/>
      <charset val="186"/>
    </font>
    <font>
      <i/>
      <sz val="12"/>
      <name val="Arial"/>
      <family val="2"/>
      <charset val="186"/>
    </font>
    <font>
      <b/>
      <i/>
      <sz val="12"/>
      <name val="Arial"/>
      <family val="2"/>
      <charset val="186"/>
    </font>
    <font>
      <vertAlign val="superscript"/>
      <sz val="12"/>
      <name val="Arial"/>
      <family val="2"/>
      <charset val="186"/>
    </font>
    <font>
      <i/>
      <sz val="10"/>
      <name val="Arial"/>
      <family val="2"/>
      <charset val="186"/>
    </font>
    <font>
      <b/>
      <sz val="10"/>
      <color indexed="56"/>
      <name val="Arial"/>
      <family val="2"/>
      <charset val="186"/>
    </font>
    <font>
      <b/>
      <sz val="10"/>
      <name val="Arial"/>
      <family val="2"/>
      <charset val="186"/>
    </font>
    <font>
      <sz val="10"/>
      <color indexed="56"/>
      <name val="Arial"/>
      <family val="2"/>
      <charset val="186"/>
    </font>
    <font>
      <b/>
      <i/>
      <sz val="10"/>
      <color indexed="48"/>
      <name val="Arial"/>
      <family val="2"/>
      <charset val="186"/>
    </font>
    <font>
      <b/>
      <sz val="10"/>
      <color indexed="17"/>
      <name val="Arial"/>
      <family val="2"/>
      <charset val="186"/>
    </font>
    <font>
      <sz val="10"/>
      <color indexed="21"/>
      <name val="Arial"/>
      <family val="2"/>
      <charset val="186"/>
    </font>
    <font>
      <b/>
      <sz val="10"/>
      <color indexed="21"/>
      <name val="Arial"/>
      <family val="2"/>
      <charset val="186"/>
    </font>
    <font>
      <b/>
      <i/>
      <sz val="10"/>
      <color indexed="21"/>
      <name val="Arial"/>
      <family val="2"/>
      <charset val="186"/>
    </font>
    <font>
      <b/>
      <sz val="10"/>
      <color indexed="18"/>
      <name val="Arial"/>
      <family val="2"/>
      <charset val="186"/>
    </font>
    <font>
      <b/>
      <sz val="10"/>
      <color indexed="10"/>
      <name val="Arial"/>
      <family val="2"/>
      <charset val="186"/>
    </font>
    <font>
      <b/>
      <i/>
      <sz val="10"/>
      <color indexed="10"/>
      <name val="Arial"/>
      <family val="2"/>
      <charset val="186"/>
    </font>
    <font>
      <sz val="10"/>
      <color indexed="10"/>
      <name val="Arial"/>
      <family val="2"/>
      <charset val="186"/>
    </font>
    <font>
      <i/>
      <sz val="10"/>
      <color indexed="12"/>
      <name val="Arial"/>
      <family val="2"/>
      <charset val="186"/>
    </font>
    <font>
      <b/>
      <sz val="10"/>
      <color indexed="12"/>
      <name val="Arial"/>
      <family val="2"/>
      <charset val="186"/>
    </font>
    <font>
      <i/>
      <sz val="10"/>
      <color indexed="14"/>
      <name val="Arial"/>
      <family val="2"/>
      <charset val="186"/>
    </font>
    <font>
      <sz val="10"/>
      <color indexed="20"/>
      <name val="Arial"/>
      <family val="2"/>
      <charset val="186"/>
    </font>
    <font>
      <sz val="10"/>
      <color indexed="14"/>
      <name val="Arial"/>
      <family val="2"/>
      <charset val="186"/>
    </font>
    <font>
      <b/>
      <sz val="10"/>
      <color indexed="54"/>
      <name val="Arial"/>
      <family val="2"/>
      <charset val="186"/>
    </font>
    <font>
      <sz val="10"/>
      <color indexed="16"/>
      <name val="Arial"/>
      <family val="2"/>
      <charset val="186"/>
    </font>
    <font>
      <sz val="10"/>
      <color indexed="18"/>
      <name val="Arial"/>
      <family val="2"/>
      <charset val="186"/>
    </font>
    <font>
      <sz val="10"/>
      <color indexed="12"/>
      <name val="Arial"/>
      <family val="2"/>
      <charset val="186"/>
    </font>
    <font>
      <b/>
      <sz val="10"/>
      <color indexed="57"/>
      <name val="Arial"/>
      <family val="2"/>
      <charset val="186"/>
    </font>
    <font>
      <b/>
      <sz val="10"/>
      <color indexed="20"/>
      <name val="Arial"/>
      <family val="2"/>
      <charset val="186"/>
    </font>
    <font>
      <b/>
      <sz val="10"/>
      <color indexed="14"/>
      <name val="Arial"/>
      <family val="2"/>
      <charset val="186"/>
    </font>
    <font>
      <sz val="10"/>
      <color indexed="60"/>
      <name val="Arial"/>
      <family val="2"/>
      <charset val="186"/>
    </font>
    <font>
      <b/>
      <sz val="10"/>
      <color indexed="19"/>
      <name val="Arial"/>
      <family val="2"/>
      <charset val="186"/>
    </font>
    <font>
      <sz val="9"/>
      <name val="Arial"/>
      <family val="2"/>
      <charset val="186"/>
    </font>
    <font>
      <sz val="12"/>
      <color indexed="8"/>
      <name val="Arial"/>
      <family val="2"/>
      <charset val="186"/>
    </font>
    <font>
      <b/>
      <sz val="9"/>
      <name val="Arial"/>
      <family val="2"/>
      <charset val="204"/>
    </font>
    <font>
      <i/>
      <sz val="9"/>
      <name val="Arial"/>
      <family val="2"/>
      <charset val="186"/>
    </font>
    <font>
      <sz val="10"/>
      <color indexed="56"/>
      <name val="Arial"/>
      <family val="2"/>
      <charset val="204"/>
    </font>
    <font>
      <sz val="10"/>
      <color indexed="21"/>
      <name val="Arial"/>
      <family val="2"/>
      <charset val="204"/>
    </font>
    <font>
      <b/>
      <sz val="10"/>
      <color indexed="56"/>
      <name val="Arial"/>
      <family val="2"/>
      <charset val="204"/>
    </font>
    <font>
      <b/>
      <sz val="10"/>
      <name val="Arial"/>
      <family val="2"/>
      <charset val="204"/>
    </font>
    <font>
      <b/>
      <i/>
      <sz val="12"/>
      <color indexed="8"/>
      <name val="Arial"/>
      <family val="2"/>
      <charset val="186"/>
    </font>
    <font>
      <sz val="12"/>
      <color indexed="10"/>
      <name val="Arial"/>
      <family val="2"/>
      <charset val="186"/>
    </font>
    <font>
      <sz val="12"/>
      <name val="Courier New"/>
      <family val="3"/>
      <charset val="186"/>
    </font>
    <font>
      <sz val="12"/>
      <color rgb="FFFF0000"/>
      <name val="Arial"/>
      <family val="2"/>
      <charset val="186"/>
    </font>
    <font>
      <sz val="12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indexed="31"/>
        <bgColor indexed="42"/>
      </patternFill>
    </fill>
    <fill>
      <patternFill patternType="solid">
        <fgColor indexed="9"/>
        <bgColor indexed="26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1">
    <xf numFmtId="0" fontId="0" fillId="0" borderId="0"/>
    <xf numFmtId="176" fontId="64" fillId="0" borderId="0" applyFill="0" applyBorder="0" applyAlignment="0" applyProtection="0"/>
    <xf numFmtId="9" fontId="64" fillId="0" borderId="0" applyFill="0" applyBorder="0" applyAlignment="0" applyProtection="0"/>
    <xf numFmtId="0" fontId="1" fillId="0" borderId="0"/>
    <xf numFmtId="0" fontId="1" fillId="0" borderId="0"/>
    <xf numFmtId="164" fontId="2" fillId="0" borderId="0">
      <protection locked="0"/>
    </xf>
    <xf numFmtId="165" fontId="64" fillId="0" borderId="0" applyFill="0" applyBorder="0" applyAlignment="0" applyProtection="0"/>
    <xf numFmtId="4" fontId="64" fillId="0" borderId="0" applyFill="0" applyBorder="0" applyAlignment="0" applyProtection="0"/>
    <xf numFmtId="0" fontId="3" fillId="0" borderId="0" applyNumberFormat="0"/>
    <xf numFmtId="166" fontId="64" fillId="0" borderId="0" applyFill="0" applyBorder="0" applyAlignment="0" applyProtection="0"/>
    <xf numFmtId="167" fontId="2" fillId="0" borderId="0">
      <protection locked="0"/>
    </xf>
    <xf numFmtId="168" fontId="4" fillId="0" borderId="0">
      <protection locked="0"/>
    </xf>
    <xf numFmtId="168" fontId="4" fillId="0" borderId="0">
      <protection locked="0"/>
    </xf>
    <xf numFmtId="168" fontId="4" fillId="0" borderId="0">
      <protection locked="0"/>
    </xf>
    <xf numFmtId="0" fontId="5" fillId="2" borderId="0"/>
    <xf numFmtId="0" fontId="6" fillId="3" borderId="0"/>
    <xf numFmtId="0" fontId="7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169" fontId="10" fillId="0" borderId="0">
      <alignment horizontal="left"/>
    </xf>
    <xf numFmtId="170" fontId="64" fillId="0" borderId="0" applyFill="0" applyBorder="0" applyAlignment="0" applyProtection="0"/>
    <xf numFmtId="171" fontId="64" fillId="0" borderId="0" applyFill="0" applyBorder="0" applyAlignment="0" applyProtection="0"/>
    <xf numFmtId="172" fontId="64" fillId="0" borderId="0" applyFill="0" applyBorder="0" applyAlignment="0" applyProtection="0"/>
    <xf numFmtId="173" fontId="64" fillId="0" borderId="0" applyFill="0" applyBorder="0" applyAlignment="0" applyProtection="0"/>
    <xf numFmtId="0" fontId="11" fillId="0" borderId="0"/>
    <xf numFmtId="0" fontId="8" fillId="0" borderId="0"/>
    <xf numFmtId="174" fontId="64" fillId="0" borderId="0" applyFill="0" applyBorder="0" applyAlignment="0" applyProtection="0"/>
  </cellStyleXfs>
  <cellXfs count="286">
    <xf numFmtId="0" fontId="0" fillId="0" borderId="0" xfId="0"/>
    <xf numFmtId="0" fontId="12" fillId="0" borderId="0" xfId="0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2" fillId="0" borderId="1" xfId="0" applyFont="1" applyBorder="1" applyAlignment="1">
      <alignment horizontal="center" wrapText="1"/>
    </xf>
    <xf numFmtId="2" fontId="12" fillId="0" borderId="1" xfId="0" applyNumberFormat="1" applyFont="1" applyBorder="1" applyAlignment="1">
      <alignment horizontal="center" wrapText="1"/>
    </xf>
    <xf numFmtId="2" fontId="12" fillId="0" borderId="0" xfId="0" applyNumberFormat="1" applyFont="1" applyBorder="1" applyAlignment="1">
      <alignment horizontal="center" wrapText="1"/>
    </xf>
    <xf numFmtId="2" fontId="15" fillId="0" borderId="1" xfId="0" applyNumberFormat="1" applyFont="1" applyBorder="1" applyAlignment="1">
      <alignment horizontal="center" wrapText="1"/>
    </xf>
    <xf numFmtId="2" fontId="12" fillId="0" borderId="0" xfId="0" applyNumberFormat="1" applyFont="1" applyAlignment="1">
      <alignment horizontal="center" wrapText="1"/>
    </xf>
    <xf numFmtId="0" fontId="14" fillId="0" borderId="0" xfId="0" applyFont="1" applyAlignment="1">
      <alignment horizontal="right" wrapText="1"/>
    </xf>
    <xf numFmtId="0" fontId="12" fillId="0" borderId="0" xfId="0" applyFont="1" applyAlignment="1">
      <alignment horizontal="left" wrapText="1"/>
    </xf>
    <xf numFmtId="0" fontId="12" fillId="0" borderId="0" xfId="0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16" fillId="0" borderId="0" xfId="0" applyFont="1" applyAlignment="1">
      <alignment horizontal="center" vertical="top"/>
    </xf>
    <xf numFmtId="0" fontId="12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wrapText="1"/>
    </xf>
    <xf numFmtId="49" fontId="12" fillId="0" borderId="1" xfId="0" applyNumberFormat="1" applyFont="1" applyFill="1" applyBorder="1"/>
    <xf numFmtId="0" fontId="12" fillId="0" borderId="1" xfId="0" applyFont="1" applyFill="1" applyBorder="1" applyAlignment="1">
      <alignment wrapText="1"/>
    </xf>
    <xf numFmtId="2" fontId="12" fillId="0" borderId="1" xfId="0" applyNumberFormat="1" applyFont="1" applyFill="1" applyBorder="1"/>
    <xf numFmtId="2" fontId="20" fillId="0" borderId="1" xfId="0" applyNumberFormat="1" applyFont="1" applyFill="1" applyBorder="1"/>
    <xf numFmtId="0" fontId="8" fillId="0" borderId="0" xfId="0" applyFont="1" applyFill="1" applyBorder="1" applyAlignment="1">
      <alignment horizontal="right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center"/>
    </xf>
    <xf numFmtId="2" fontId="8" fillId="0" borderId="0" xfId="0" applyNumberFormat="1" applyFont="1" applyFill="1" applyBorder="1"/>
    <xf numFmtId="0" fontId="15" fillId="0" borderId="0" xfId="0" applyFont="1" applyFill="1" applyBorder="1" applyAlignment="1" applyProtection="1">
      <alignment horizontal="left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right"/>
    </xf>
    <xf numFmtId="0" fontId="24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17" fillId="0" borderId="0" xfId="0" applyFont="1" applyFill="1" applyBorder="1" applyAlignment="1" applyProtection="1">
      <alignment horizontal="left"/>
    </xf>
    <xf numFmtId="0" fontId="24" fillId="0" borderId="0" xfId="0" applyFont="1" applyFill="1" applyBorder="1" applyAlignment="1">
      <alignment horizontal="left"/>
    </xf>
    <xf numFmtId="0" fontId="24" fillId="0" borderId="1" xfId="0" applyFont="1" applyFill="1" applyBorder="1" applyAlignment="1" applyProtection="1">
      <alignment horizontal="center" vertical="center" textRotation="90" wrapText="1"/>
    </xf>
    <xf numFmtId="0" fontId="15" fillId="0" borderId="1" xfId="0" applyNumberFormat="1" applyFont="1" applyFill="1" applyBorder="1" applyAlignment="1">
      <alignment horizontal="center" vertical="top" wrapText="1"/>
    </xf>
    <xf numFmtId="49" fontId="15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vertical="top" wrapText="1"/>
    </xf>
    <xf numFmtId="177" fontId="15" fillId="0" borderId="1" xfId="1" applyNumberFormat="1" applyFont="1" applyFill="1" applyBorder="1" applyAlignment="1" applyProtection="1">
      <alignment horizontal="right" vertical="top"/>
    </xf>
    <xf numFmtId="2" fontId="15" fillId="0" borderId="1" xfId="0" applyNumberFormat="1" applyFont="1" applyFill="1" applyBorder="1" applyAlignment="1">
      <alignment horizontal="right" vertical="top"/>
    </xf>
    <xf numFmtId="177" fontId="15" fillId="0" borderId="1" xfId="0" applyNumberFormat="1" applyFont="1" applyFill="1" applyBorder="1" applyAlignment="1">
      <alignment horizontal="right" vertical="top"/>
    </xf>
    <xf numFmtId="2" fontId="15" fillId="0" borderId="1" xfId="0" applyNumberFormat="1" applyFont="1" applyFill="1" applyBorder="1" applyAlignment="1" applyProtection="1">
      <alignment horizontal="right" vertical="top"/>
      <protection locked="0"/>
    </xf>
    <xf numFmtId="0" fontId="15" fillId="4" borderId="1" xfId="0" applyFont="1" applyFill="1" applyBorder="1" applyAlignment="1">
      <alignment vertical="top" wrapText="1"/>
    </xf>
    <xf numFmtId="177" fontId="15" fillId="0" borderId="1" xfId="0" applyNumberFormat="1" applyFont="1" applyFill="1" applyBorder="1" applyAlignment="1">
      <alignment horizontal="left" vertical="top"/>
    </xf>
    <xf numFmtId="0" fontId="8" fillId="0" borderId="1" xfId="0" applyFont="1" applyFill="1" applyBorder="1"/>
    <xf numFmtId="0" fontId="17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horizontal="right" wrapText="1"/>
    </xf>
    <xf numFmtId="0" fontId="17" fillId="0" borderId="1" xfId="0" applyFont="1" applyFill="1" applyBorder="1" applyAlignment="1">
      <alignment horizontal="left" vertical="top" wrapText="1"/>
    </xf>
    <xf numFmtId="177" fontId="17" fillId="0" borderId="1" xfId="0" applyNumberFormat="1" applyFont="1" applyFill="1" applyBorder="1" applyAlignment="1">
      <alignment horizontal="right"/>
    </xf>
    <xf numFmtId="0" fontId="27" fillId="0" borderId="1" xfId="0" applyFont="1" applyFill="1" applyBorder="1" applyAlignment="1" applyProtection="1">
      <alignment horizontal="right"/>
    </xf>
    <xf numFmtId="177" fontId="15" fillId="0" borderId="1" xfId="0" applyNumberFormat="1" applyFont="1" applyFill="1" applyBorder="1" applyAlignment="1">
      <alignment horizontal="right" vertical="center"/>
    </xf>
    <xf numFmtId="177" fontId="14" fillId="0" borderId="1" xfId="0" applyNumberFormat="1" applyFont="1" applyFill="1" applyBorder="1" applyAlignment="1">
      <alignment horizontal="right"/>
    </xf>
    <xf numFmtId="2" fontId="17" fillId="0" borderId="2" xfId="1" applyNumberFormat="1" applyFont="1" applyFill="1" applyBorder="1" applyAlignment="1" applyProtection="1">
      <alignment horizontal="right"/>
    </xf>
    <xf numFmtId="2" fontId="17" fillId="0" borderId="1" xfId="1" applyNumberFormat="1" applyFont="1" applyFill="1" applyBorder="1" applyAlignment="1" applyProtection="1">
      <alignment horizontal="right"/>
    </xf>
    <xf numFmtId="0" fontId="24" fillId="0" borderId="0" xfId="0" applyFont="1" applyFill="1" applyBorder="1" applyAlignment="1" applyProtection="1">
      <alignment horizontal="right"/>
    </xf>
    <xf numFmtId="0" fontId="15" fillId="0" borderId="0" xfId="0" applyFont="1" applyFill="1" applyBorder="1" applyAlignment="1" applyProtection="1">
      <alignment horizontal="center"/>
    </xf>
    <xf numFmtId="2" fontId="15" fillId="0" borderId="0" xfId="1" applyNumberFormat="1" applyFont="1" applyFill="1" applyBorder="1" applyAlignment="1" applyProtection="1">
      <alignment horizontal="right"/>
    </xf>
    <xf numFmtId="0" fontId="15" fillId="0" borderId="0" xfId="0" applyFont="1" applyFill="1" applyBorder="1"/>
    <xf numFmtId="0" fontId="15" fillId="0" borderId="0" xfId="0" applyFont="1" applyFill="1" applyBorder="1" applyAlignment="1" applyProtection="1">
      <alignment horizontal="right"/>
    </xf>
    <xf numFmtId="0" fontId="15" fillId="0" borderId="3" xfId="0" applyFont="1" applyFill="1" applyBorder="1" applyAlignment="1" applyProtection="1">
      <alignment horizontal="right"/>
    </xf>
    <xf numFmtId="0" fontId="15" fillId="0" borderId="3" xfId="0" applyFont="1" applyFill="1" applyBorder="1" applyAlignment="1" applyProtection="1">
      <alignment horizontal="left"/>
    </xf>
    <xf numFmtId="2" fontId="15" fillId="0" borderId="3" xfId="1" applyNumberFormat="1" applyFont="1" applyFill="1" applyBorder="1" applyAlignment="1" applyProtection="1">
      <alignment horizontal="right"/>
    </xf>
    <xf numFmtId="0" fontId="15" fillId="0" borderId="3" xfId="0" applyFont="1" applyFill="1" applyBorder="1"/>
    <xf numFmtId="0" fontId="15" fillId="0" borderId="0" xfId="0" applyFont="1" applyFill="1" applyBorder="1" applyAlignment="1" applyProtection="1"/>
    <xf numFmtId="0" fontId="27" fillId="0" borderId="0" xfId="0" applyFont="1" applyFill="1" applyBorder="1" applyAlignment="1" applyProtection="1">
      <alignment horizontal="right"/>
    </xf>
    <xf numFmtId="0" fontId="8" fillId="0" borderId="0" xfId="0" applyFont="1" applyFill="1" applyBorder="1" applyAlignment="1" applyProtection="1">
      <alignment horizontal="center"/>
    </xf>
    <xf numFmtId="2" fontId="8" fillId="0" borderId="0" xfId="1" applyNumberFormat="1" applyFont="1" applyFill="1" applyBorder="1" applyAlignment="1" applyProtection="1">
      <alignment horizontal="right"/>
    </xf>
    <xf numFmtId="2" fontId="8" fillId="0" borderId="0" xfId="0" applyNumberFormat="1" applyFont="1" applyFill="1" applyBorder="1" applyAlignment="1">
      <alignment horizontal="right"/>
    </xf>
    <xf numFmtId="0" fontId="28" fillId="0" borderId="0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/>
    </xf>
    <xf numFmtId="2" fontId="28" fillId="0" borderId="0" xfId="0" applyNumberFormat="1" applyFont="1" applyFill="1" applyBorder="1"/>
    <xf numFmtId="178" fontId="30" fillId="0" borderId="0" xfId="0" applyNumberFormat="1" applyFont="1" applyFill="1" applyBorder="1"/>
    <xf numFmtId="0" fontId="31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vertical="center"/>
    </xf>
    <xf numFmtId="2" fontId="29" fillId="0" borderId="0" xfId="0" applyNumberFormat="1" applyFont="1" applyFill="1" applyBorder="1"/>
    <xf numFmtId="179" fontId="30" fillId="0" borderId="0" xfId="0" applyNumberFormat="1" applyFont="1" applyFill="1" applyBorder="1"/>
    <xf numFmtId="0" fontId="32" fillId="0" borderId="0" xfId="0" applyFont="1" applyFill="1" applyBorder="1" applyAlignment="1">
      <alignment horizontal="right"/>
    </xf>
    <xf numFmtId="0" fontId="33" fillId="0" borderId="0" xfId="0" applyFont="1" applyFill="1" applyBorder="1" applyAlignment="1" applyProtection="1">
      <alignment horizontal="left"/>
    </xf>
    <xf numFmtId="0" fontId="32" fillId="0" borderId="0" xfId="0" applyFont="1" applyFill="1" applyBorder="1" applyAlignment="1">
      <alignment horizontal="center"/>
    </xf>
    <xf numFmtId="180" fontId="8" fillId="0" borderId="0" xfId="0" applyNumberFormat="1" applyFont="1" applyFill="1" applyBorder="1" applyAlignment="1" applyProtection="1">
      <alignment horizontal="center" vertical="center"/>
    </xf>
    <xf numFmtId="181" fontId="8" fillId="0" borderId="0" xfId="0" applyNumberFormat="1" applyFont="1" applyFill="1" applyBorder="1" applyAlignment="1" applyProtection="1">
      <alignment horizontal="center"/>
    </xf>
    <xf numFmtId="179" fontId="8" fillId="0" borderId="0" xfId="0" applyNumberFormat="1" applyFont="1" applyFill="1" applyBorder="1" applyProtection="1"/>
    <xf numFmtId="178" fontId="8" fillId="0" borderId="0" xfId="0" applyNumberFormat="1" applyFont="1" applyFill="1" applyBorder="1" applyProtection="1"/>
    <xf numFmtId="0" fontId="34" fillId="0" borderId="0" xfId="0" applyFont="1" applyFill="1" applyBorder="1" applyAlignment="1">
      <alignment horizontal="center"/>
    </xf>
    <xf numFmtId="0" fontId="35" fillId="0" borderId="0" xfId="0" applyFont="1" applyFill="1" applyBorder="1" applyAlignment="1">
      <alignment horizontal="center"/>
    </xf>
    <xf numFmtId="0" fontId="36" fillId="0" borderId="0" xfId="0" applyFont="1" applyFill="1" applyBorder="1" applyAlignment="1">
      <alignment horizontal="right"/>
    </xf>
    <xf numFmtId="0" fontId="37" fillId="0" borderId="0" xfId="0" applyFont="1" applyFill="1" applyBorder="1" applyAlignment="1">
      <alignment horizontal="right"/>
    </xf>
    <xf numFmtId="0" fontId="33" fillId="0" borderId="0" xfId="0" applyFont="1" applyFill="1" applyBorder="1" applyAlignment="1">
      <alignment horizontal="right"/>
    </xf>
    <xf numFmtId="0" fontId="34" fillId="0" borderId="0" xfId="0" applyFont="1" applyFill="1" applyBorder="1" applyAlignment="1">
      <alignment horizontal="right"/>
    </xf>
    <xf numFmtId="0" fontId="8" fillId="0" borderId="0" xfId="0" applyFont="1" applyFill="1" applyBorder="1" applyAlignment="1" applyProtection="1">
      <alignment horizontal="left"/>
    </xf>
    <xf numFmtId="0" fontId="38" fillId="0" borderId="0" xfId="0" applyFont="1" applyFill="1" applyBorder="1" applyAlignment="1">
      <alignment horizontal="center"/>
    </xf>
    <xf numFmtId="0" fontId="8" fillId="0" borderId="0" xfId="0" applyFont="1" applyFill="1" applyBorder="1" applyAlignment="1" applyProtection="1">
      <alignment horizontal="right"/>
    </xf>
    <xf numFmtId="0" fontId="39" fillId="0" borderId="0" xfId="0" applyFont="1" applyFill="1" applyBorder="1" applyAlignment="1" applyProtection="1">
      <alignment horizontal="left"/>
    </xf>
    <xf numFmtId="0" fontId="40" fillId="0" borderId="0" xfId="0" applyFont="1" applyFill="1" applyBorder="1" applyAlignment="1" applyProtection="1">
      <alignment horizontal="center" vertical="center"/>
    </xf>
    <xf numFmtId="2" fontId="39" fillId="0" borderId="0" xfId="1" applyNumberFormat="1" applyFont="1" applyFill="1" applyBorder="1" applyAlignment="1" applyProtection="1">
      <alignment horizontal="right"/>
    </xf>
    <xf numFmtId="2" fontId="37" fillId="0" borderId="0" xfId="1" applyNumberFormat="1" applyFont="1" applyFill="1" applyBorder="1" applyAlignment="1" applyProtection="1">
      <alignment horizontal="right"/>
    </xf>
    <xf numFmtId="2" fontId="8" fillId="0" borderId="0" xfId="0" applyNumberFormat="1" applyFont="1" applyFill="1" applyBorder="1" applyAlignment="1" applyProtection="1">
      <alignment horizontal="right"/>
    </xf>
    <xf numFmtId="0" fontId="39" fillId="0" borderId="0" xfId="0" applyFont="1" applyFill="1" applyBorder="1"/>
    <xf numFmtId="180" fontId="39" fillId="0" borderId="0" xfId="1" applyNumberFormat="1" applyFont="1" applyFill="1" applyBorder="1" applyAlignment="1" applyProtection="1">
      <alignment horizontal="right"/>
    </xf>
    <xf numFmtId="2" fontId="41" fillId="0" borderId="0" xfId="1" applyNumberFormat="1" applyFont="1" applyFill="1" applyBorder="1" applyAlignment="1" applyProtection="1">
      <alignment horizontal="right"/>
    </xf>
    <xf numFmtId="0" fontId="42" fillId="0" borderId="0" xfId="0" applyFont="1" applyFill="1" applyBorder="1" applyAlignment="1">
      <alignment horizontal="right"/>
    </xf>
    <xf numFmtId="2" fontId="43" fillId="0" borderId="0" xfId="0" applyNumberFormat="1" applyFont="1" applyFill="1" applyBorder="1"/>
    <xf numFmtId="2" fontId="44" fillId="0" borderId="0" xfId="0" applyNumberFormat="1" applyFont="1" applyFill="1" applyBorder="1"/>
    <xf numFmtId="0" fontId="45" fillId="0" borderId="0" xfId="0" applyFont="1" applyFill="1" applyBorder="1" applyAlignment="1">
      <alignment horizontal="right"/>
    </xf>
    <xf numFmtId="2" fontId="45" fillId="0" borderId="0" xfId="0" applyNumberFormat="1" applyFont="1" applyFill="1" applyBorder="1"/>
    <xf numFmtId="2" fontId="45" fillId="0" borderId="0" xfId="0" applyNumberFormat="1" applyFont="1" applyFill="1" applyBorder="1" applyAlignment="1">
      <alignment horizontal="right"/>
    </xf>
    <xf numFmtId="2" fontId="29" fillId="0" borderId="0" xfId="1" applyNumberFormat="1" applyFont="1" applyFill="1" applyBorder="1" applyAlignment="1" applyProtection="1">
      <alignment horizontal="right"/>
    </xf>
    <xf numFmtId="2" fontId="46" fillId="0" borderId="0" xfId="0" applyNumberFormat="1" applyFont="1" applyFill="1" applyBorder="1"/>
    <xf numFmtId="2" fontId="47" fillId="0" borderId="0" xfId="0" applyNumberFormat="1" applyFont="1" applyFill="1" applyBorder="1"/>
    <xf numFmtId="0" fontId="48" fillId="0" borderId="0" xfId="0" applyFont="1" applyFill="1" applyBorder="1" applyAlignment="1">
      <alignment horizontal="right"/>
    </xf>
    <xf numFmtId="2" fontId="48" fillId="0" borderId="0" xfId="0" applyNumberFormat="1" applyFont="1" applyFill="1" applyBorder="1"/>
    <xf numFmtId="2" fontId="48" fillId="0" borderId="0" xfId="0" applyNumberFormat="1" applyFont="1" applyFill="1" applyBorder="1" applyAlignment="1">
      <alignment horizontal="right"/>
    </xf>
    <xf numFmtId="2" fontId="33" fillId="0" borderId="0" xfId="0" applyNumberFormat="1" applyFont="1" applyFill="1" applyBorder="1" applyAlignment="1">
      <alignment horizontal="right"/>
    </xf>
    <xf numFmtId="0" fontId="47" fillId="0" borderId="0" xfId="0" applyFont="1" applyFill="1" applyBorder="1" applyAlignment="1">
      <alignment horizontal="right"/>
    </xf>
    <xf numFmtId="0" fontId="47" fillId="0" borderId="0" xfId="0" applyFont="1" applyFill="1" applyBorder="1"/>
    <xf numFmtId="180" fontId="48" fillId="0" borderId="0" xfId="0" applyNumberFormat="1" applyFont="1" applyFill="1" applyBorder="1" applyAlignment="1">
      <alignment horizontal="right"/>
    </xf>
    <xf numFmtId="180" fontId="8" fillId="0" borderId="0" xfId="0" applyNumberFormat="1" applyFont="1" applyFill="1" applyBorder="1"/>
    <xf numFmtId="180" fontId="8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center"/>
    </xf>
    <xf numFmtId="2" fontId="49" fillId="0" borderId="0" xfId="1" applyNumberFormat="1" applyFont="1" applyFill="1" applyBorder="1" applyAlignment="1" applyProtection="1">
      <alignment horizontal="right"/>
    </xf>
    <xf numFmtId="2" fontId="43" fillId="0" borderId="0" xfId="1" applyNumberFormat="1" applyFont="1" applyFill="1" applyBorder="1" applyAlignment="1" applyProtection="1">
      <alignment horizontal="right"/>
    </xf>
    <xf numFmtId="2" fontId="46" fillId="0" borderId="0" xfId="1" applyNumberFormat="1" applyFont="1" applyFill="1" applyBorder="1" applyAlignment="1" applyProtection="1">
      <alignment horizontal="right"/>
    </xf>
    <xf numFmtId="2" fontId="34" fillId="0" borderId="0" xfId="0" applyNumberFormat="1" applyFont="1" applyFill="1" applyBorder="1" applyAlignment="1">
      <alignment horizontal="left"/>
    </xf>
    <xf numFmtId="2" fontId="48" fillId="0" borderId="0" xfId="1" applyNumberFormat="1" applyFont="1" applyFill="1" applyBorder="1" applyAlignment="1" applyProtection="1">
      <alignment horizontal="right"/>
    </xf>
    <xf numFmtId="2" fontId="27" fillId="0" borderId="0" xfId="1" applyNumberFormat="1" applyFont="1" applyFill="1" applyBorder="1" applyAlignment="1" applyProtection="1">
      <alignment horizontal="right"/>
    </xf>
    <xf numFmtId="2" fontId="40" fillId="0" borderId="0" xfId="1" applyNumberFormat="1" applyFont="1" applyFill="1" applyBorder="1" applyAlignment="1" applyProtection="1">
      <alignment horizontal="right"/>
    </xf>
    <xf numFmtId="2" fontId="32" fillId="0" borderId="0" xfId="1" applyNumberFormat="1" applyFont="1" applyFill="1" applyBorder="1" applyAlignment="1" applyProtection="1">
      <alignment horizontal="right"/>
    </xf>
    <xf numFmtId="180" fontId="48" fillId="0" borderId="0" xfId="0" applyNumberFormat="1" applyFont="1" applyFill="1" applyBorder="1"/>
    <xf numFmtId="2" fontId="49" fillId="0" borderId="0" xfId="0" applyNumberFormat="1" applyFont="1" applyFill="1" applyBorder="1"/>
    <xf numFmtId="2" fontId="50" fillId="0" borderId="0" xfId="0" applyNumberFormat="1" applyFont="1" applyFill="1" applyBorder="1"/>
    <xf numFmtId="2" fontId="41" fillId="0" borderId="0" xfId="0" applyNumberFormat="1" applyFont="1" applyFill="1" applyBorder="1"/>
    <xf numFmtId="2" fontId="36" fillId="0" borderId="0" xfId="1" applyNumberFormat="1" applyFont="1" applyFill="1" applyBorder="1" applyAlignment="1" applyProtection="1">
      <alignment horizontal="right"/>
    </xf>
    <xf numFmtId="0" fontId="39" fillId="0" borderId="0" xfId="0" applyFont="1" applyFill="1" applyBorder="1" applyAlignment="1">
      <alignment horizontal="right"/>
    </xf>
    <xf numFmtId="2" fontId="51" fillId="0" borderId="0" xfId="0" applyNumberFormat="1" applyFont="1" applyFill="1" applyBorder="1"/>
    <xf numFmtId="2" fontId="52" fillId="0" borderId="0" xfId="0" applyNumberFormat="1" applyFont="1" applyFill="1" applyBorder="1"/>
    <xf numFmtId="2" fontId="34" fillId="0" borderId="0" xfId="1" applyNumberFormat="1" applyFont="1" applyFill="1" applyBorder="1" applyAlignment="1" applyProtection="1">
      <alignment horizontal="right"/>
    </xf>
    <xf numFmtId="2" fontId="51" fillId="0" borderId="0" xfId="1" applyNumberFormat="1" applyFont="1" applyFill="1" applyBorder="1" applyAlignment="1" applyProtection="1">
      <alignment horizontal="right"/>
    </xf>
    <xf numFmtId="2" fontId="52" fillId="0" borderId="0" xfId="1" applyNumberFormat="1" applyFont="1" applyFill="1" applyBorder="1" applyAlignment="1" applyProtection="1">
      <alignment horizontal="right"/>
    </xf>
    <xf numFmtId="2" fontId="47" fillId="0" borderId="0" xfId="1" applyNumberFormat="1" applyFont="1" applyFill="1" applyBorder="1" applyAlignment="1" applyProtection="1">
      <alignment horizontal="right"/>
    </xf>
    <xf numFmtId="2" fontId="33" fillId="0" borderId="0" xfId="1" applyNumberFormat="1" applyFont="1" applyFill="1" applyBorder="1" applyAlignment="1" applyProtection="1">
      <alignment horizontal="right"/>
    </xf>
    <xf numFmtId="2" fontId="53" fillId="0" borderId="0" xfId="1" applyNumberFormat="1" applyFont="1" applyFill="1" applyBorder="1" applyAlignment="1" applyProtection="1">
      <alignment horizontal="right"/>
    </xf>
    <xf numFmtId="2" fontId="34" fillId="0" borderId="0" xfId="0" applyNumberFormat="1" applyFont="1" applyFill="1" applyBorder="1" applyAlignment="1">
      <alignment horizontal="right"/>
    </xf>
    <xf numFmtId="0" fontId="47" fillId="0" borderId="0" xfId="0" applyFont="1" applyFill="1"/>
    <xf numFmtId="182" fontId="8" fillId="0" borderId="0" xfId="2" applyNumberFormat="1" applyFont="1" applyFill="1" applyBorder="1" applyAlignment="1" applyProtection="1"/>
    <xf numFmtId="0" fontId="54" fillId="0" borderId="0" xfId="0" applyFont="1" applyFill="1" applyBorder="1" applyAlignment="1">
      <alignment horizontal="center"/>
    </xf>
    <xf numFmtId="0" fontId="17" fillId="0" borderId="1" xfId="0" applyFont="1" applyFill="1" applyBorder="1" applyAlignment="1">
      <alignment vertical="top" wrapText="1"/>
    </xf>
    <xf numFmtId="0" fontId="24" fillId="0" borderId="1" xfId="0" applyFont="1" applyFill="1" applyBorder="1" applyAlignment="1" applyProtection="1">
      <alignment horizontal="right"/>
    </xf>
    <xf numFmtId="49" fontId="8" fillId="0" borderId="0" xfId="0" applyNumberFormat="1" applyFont="1" applyFill="1" applyBorder="1" applyAlignment="1">
      <alignment horizontal="right"/>
    </xf>
    <xf numFmtId="0" fontId="56" fillId="0" borderId="0" xfId="0" applyFont="1" applyFill="1" applyBorder="1" applyAlignment="1" applyProtection="1">
      <alignment horizontal="left"/>
    </xf>
    <xf numFmtId="0" fontId="54" fillId="0" borderId="0" xfId="0" applyFont="1" applyFill="1" applyBorder="1" applyAlignment="1">
      <alignment horizontal="right"/>
    </xf>
    <xf numFmtId="0" fontId="57" fillId="0" borderId="0" xfId="0" applyFont="1" applyFill="1" applyBorder="1" applyAlignment="1">
      <alignment horizontal="left"/>
    </xf>
    <xf numFmtId="0" fontId="57" fillId="0" borderId="0" xfId="0" applyFont="1" applyFill="1" applyBorder="1" applyAlignment="1">
      <alignment horizontal="center"/>
    </xf>
    <xf numFmtId="177" fontId="15" fillId="0" borderId="1" xfId="1" applyNumberFormat="1" applyFont="1" applyFill="1" applyBorder="1" applyAlignment="1" applyProtection="1">
      <alignment horizontal="center"/>
    </xf>
    <xf numFmtId="2" fontId="15" fillId="0" borderId="1" xfId="0" applyNumberFormat="1" applyFont="1" applyFill="1" applyBorder="1" applyAlignment="1">
      <alignment horizontal="center"/>
    </xf>
    <xf numFmtId="177" fontId="15" fillId="0" borderId="1" xfId="0" applyNumberFormat="1" applyFont="1" applyFill="1" applyBorder="1" applyAlignment="1">
      <alignment horizontal="center"/>
    </xf>
    <xf numFmtId="177" fontId="15" fillId="0" borderId="1" xfId="0" applyNumberFormat="1" applyFont="1" applyFill="1" applyBorder="1"/>
    <xf numFmtId="0" fontId="55" fillId="0" borderId="1" xfId="0" applyFont="1" applyFill="1" applyBorder="1" applyAlignment="1">
      <alignment vertical="top" wrapText="1"/>
    </xf>
    <xf numFmtId="177" fontId="15" fillId="0" borderId="0" xfId="0" applyNumberFormat="1" applyFont="1" applyFill="1" applyBorder="1"/>
    <xf numFmtId="0" fontId="24" fillId="0" borderId="1" xfId="0" applyFont="1" applyFill="1" applyBorder="1" applyAlignment="1" applyProtection="1">
      <alignment horizontal="right" vertical="top"/>
    </xf>
    <xf numFmtId="2" fontId="15" fillId="0" borderId="0" xfId="0" applyNumberFormat="1" applyFont="1" applyFill="1" applyBorder="1"/>
    <xf numFmtId="49" fontId="27" fillId="0" borderId="0" xfId="0" applyNumberFormat="1" applyFont="1" applyFill="1" applyBorder="1" applyAlignment="1" applyProtection="1">
      <alignment horizontal="right"/>
    </xf>
    <xf numFmtId="49" fontId="58" fillId="0" borderId="0" xfId="0" applyNumberFormat="1" applyFont="1" applyFill="1" applyBorder="1"/>
    <xf numFmtId="49" fontId="32" fillId="0" borderId="0" xfId="0" applyNumberFormat="1" applyFont="1" applyFill="1" applyBorder="1" applyAlignment="1">
      <alignment horizontal="right"/>
    </xf>
    <xf numFmtId="49" fontId="32" fillId="0" borderId="0" xfId="0" applyNumberFormat="1" applyFont="1" applyFill="1" applyBorder="1" applyAlignment="1">
      <alignment horizontal="center"/>
    </xf>
    <xf numFmtId="49" fontId="34" fillId="0" borderId="0" xfId="0" applyNumberFormat="1" applyFont="1" applyFill="1" applyBorder="1" applyAlignment="1">
      <alignment horizontal="center"/>
    </xf>
    <xf numFmtId="49" fontId="35" fillId="0" borderId="0" xfId="0" applyNumberFormat="1" applyFont="1" applyFill="1" applyBorder="1" applyAlignment="1">
      <alignment horizontal="center"/>
    </xf>
    <xf numFmtId="49" fontId="36" fillId="0" borderId="0" xfId="0" applyNumberFormat="1" applyFont="1" applyFill="1" applyBorder="1" applyAlignment="1">
      <alignment horizontal="right"/>
    </xf>
    <xf numFmtId="49" fontId="37" fillId="0" borderId="0" xfId="0" applyNumberFormat="1" applyFont="1" applyFill="1" applyBorder="1" applyAlignment="1">
      <alignment horizontal="right"/>
    </xf>
    <xf numFmtId="49" fontId="8" fillId="0" borderId="0" xfId="0" applyNumberFormat="1" applyFont="1" applyFill="1" applyBorder="1"/>
    <xf numFmtId="49" fontId="59" fillId="0" borderId="0" xfId="0" applyNumberFormat="1" applyFont="1" applyFill="1" applyBorder="1" applyAlignment="1">
      <alignment horizontal="right"/>
    </xf>
    <xf numFmtId="2" fontId="16" fillId="0" borderId="0" xfId="0" applyNumberFormat="1" applyFont="1" applyFill="1" applyBorder="1" applyAlignment="1">
      <alignment horizontal="right"/>
    </xf>
    <xf numFmtId="0" fontId="60" fillId="0" borderId="0" xfId="0" applyFont="1" applyFill="1" applyBorder="1" applyAlignment="1">
      <alignment horizontal="center" vertical="center"/>
    </xf>
    <xf numFmtId="0" fontId="60" fillId="0" borderId="0" xfId="0" applyFont="1" applyFill="1" applyBorder="1" applyAlignment="1">
      <alignment horizontal="center"/>
    </xf>
    <xf numFmtId="2" fontId="60" fillId="0" borderId="0" xfId="0" applyNumberFormat="1" applyFont="1" applyFill="1" applyBorder="1"/>
    <xf numFmtId="0" fontId="16" fillId="0" borderId="0" xfId="0" applyFont="1" applyFill="1" applyBorder="1"/>
    <xf numFmtId="2" fontId="16" fillId="0" borderId="0" xfId="0" applyNumberFormat="1" applyFont="1" applyFill="1" applyBorder="1"/>
    <xf numFmtId="178" fontId="58" fillId="0" borderId="0" xfId="0" applyNumberFormat="1" applyFont="1" applyFill="1" applyBorder="1"/>
    <xf numFmtId="0" fontId="61" fillId="0" borderId="0" xfId="0" applyFont="1" applyFill="1" applyBorder="1" applyAlignment="1">
      <alignment horizontal="center" vertical="center"/>
    </xf>
    <xf numFmtId="0" fontId="61" fillId="0" borderId="0" xfId="0" applyFont="1" applyFill="1" applyBorder="1" applyAlignment="1">
      <alignment horizontal="center"/>
    </xf>
    <xf numFmtId="2" fontId="61" fillId="0" borderId="0" xfId="0" applyNumberFormat="1" applyFont="1" applyFill="1" applyBorder="1"/>
    <xf numFmtId="179" fontId="58" fillId="0" borderId="0" xfId="0" applyNumberFormat="1" applyFont="1" applyFill="1" applyBorder="1"/>
    <xf numFmtId="0" fontId="59" fillId="0" borderId="0" xfId="0" applyFont="1" applyFill="1" applyBorder="1" applyAlignment="1" applyProtection="1">
      <alignment horizontal="left"/>
    </xf>
    <xf numFmtId="49" fontId="34" fillId="0" borderId="0" xfId="0" applyNumberFormat="1" applyFont="1" applyFill="1" applyBorder="1" applyAlignment="1">
      <alignment horizontal="right"/>
    </xf>
    <xf numFmtId="180" fontId="16" fillId="0" borderId="0" xfId="0" applyNumberFormat="1" applyFont="1" applyFill="1" applyBorder="1" applyAlignment="1" applyProtection="1">
      <alignment horizontal="center" vertical="center"/>
    </xf>
    <xf numFmtId="181" fontId="16" fillId="0" borderId="0" xfId="0" applyNumberFormat="1" applyFont="1" applyFill="1" applyBorder="1" applyAlignment="1" applyProtection="1">
      <alignment horizontal="center"/>
    </xf>
    <xf numFmtId="179" fontId="16" fillId="0" borderId="0" xfId="0" applyNumberFormat="1" applyFont="1" applyFill="1" applyBorder="1" applyProtection="1"/>
    <xf numFmtId="178" fontId="16" fillId="0" borderId="0" xfId="0" applyNumberFormat="1" applyFont="1" applyFill="1" applyBorder="1" applyProtection="1"/>
    <xf numFmtId="49" fontId="8" fillId="0" borderId="0" xfId="0" applyNumberFormat="1" applyFont="1" applyFill="1" applyBorder="1" applyAlignment="1" applyProtection="1">
      <alignment horizontal="right"/>
    </xf>
    <xf numFmtId="0" fontId="59" fillId="0" borderId="0" xfId="0" applyFont="1" applyFill="1" applyBorder="1" applyAlignment="1">
      <alignment horizontal="right"/>
    </xf>
    <xf numFmtId="49" fontId="47" fillId="0" borderId="0" xfId="0" applyNumberFormat="1" applyFont="1" applyFill="1" applyBorder="1"/>
    <xf numFmtId="177" fontId="55" fillId="0" borderId="1" xfId="0" applyNumberFormat="1" applyFont="1" applyFill="1" applyBorder="1" applyAlignment="1">
      <alignment horizontal="right" vertical="top"/>
    </xf>
    <xf numFmtId="0" fontId="17" fillId="0" borderId="1" xfId="0" applyFont="1" applyFill="1" applyBorder="1" applyAlignment="1">
      <alignment horizontal="left"/>
    </xf>
    <xf numFmtId="49" fontId="17" fillId="0" borderId="5" xfId="0" applyNumberFormat="1" applyFont="1" applyFill="1" applyBorder="1" applyAlignment="1">
      <alignment horizontal="left"/>
    </xf>
    <xf numFmtId="0" fontId="15" fillId="0" borderId="1" xfId="0" applyFont="1" applyFill="1" applyBorder="1" applyAlignment="1">
      <alignment horizontal="center"/>
    </xf>
    <xf numFmtId="183" fontId="15" fillId="0" borderId="1" xfId="1" applyNumberFormat="1" applyFont="1" applyFill="1" applyBorder="1" applyAlignment="1" applyProtection="1">
      <alignment horizontal="right"/>
    </xf>
    <xf numFmtId="2" fontId="15" fillId="0" borderId="1" xfId="0" applyNumberFormat="1" applyFont="1" applyFill="1" applyBorder="1"/>
    <xf numFmtId="0" fontId="15" fillId="0" borderId="1" xfId="0" applyFont="1" applyFill="1" applyBorder="1"/>
    <xf numFmtId="0" fontId="63" fillId="0" borderId="1" xfId="0" applyFont="1" applyFill="1" applyBorder="1"/>
    <xf numFmtId="49" fontId="15" fillId="0" borderId="5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/>
    </xf>
    <xf numFmtId="0" fontId="17" fillId="0" borderId="5" xfId="0" applyFont="1" applyFill="1" applyBorder="1" applyAlignment="1">
      <alignment vertical="top" wrapText="1"/>
    </xf>
    <xf numFmtId="0" fontId="24" fillId="0" borderId="5" xfId="0" applyFont="1" applyFill="1" applyBorder="1" applyAlignment="1" applyProtection="1">
      <alignment horizontal="right"/>
    </xf>
    <xf numFmtId="0" fontId="24" fillId="0" borderId="1" xfId="0" applyFont="1" applyFill="1" applyBorder="1" applyAlignment="1" applyProtection="1">
      <alignment horizontal="center" vertical="center" textRotation="90" wrapText="1"/>
    </xf>
    <xf numFmtId="0" fontId="12" fillId="0" borderId="0" xfId="0" applyFont="1" applyFill="1" applyBorder="1" applyAlignment="1">
      <alignment wrapText="1"/>
    </xf>
    <xf numFmtId="0" fontId="16" fillId="0" borderId="0" xfId="0" applyFont="1" applyFill="1" applyBorder="1" applyAlignment="1">
      <alignment vertical="top"/>
    </xf>
    <xf numFmtId="0" fontId="16" fillId="0" borderId="0" xfId="0" applyFont="1" applyAlignment="1">
      <alignment horizontal="center"/>
    </xf>
    <xf numFmtId="0" fontId="17" fillId="0" borderId="1" xfId="0" applyFont="1" applyFill="1" applyBorder="1" applyAlignment="1">
      <alignment horizontal="center" vertical="center" wrapText="1"/>
    </xf>
    <xf numFmtId="184" fontId="15" fillId="0" borderId="0" xfId="0" applyNumberFormat="1" applyFont="1" applyFill="1" applyBorder="1"/>
    <xf numFmtId="184" fontId="65" fillId="0" borderId="0" xfId="0" applyNumberFormat="1" applyFont="1" applyFill="1" applyBorder="1"/>
    <xf numFmtId="2" fontId="15" fillId="0" borderId="1" xfId="1" applyNumberFormat="1" applyFont="1" applyFill="1" applyBorder="1" applyAlignment="1" applyProtection="1">
      <alignment horizontal="right"/>
    </xf>
    <xf numFmtId="177" fontId="15" fillId="0" borderId="1" xfId="0" applyNumberFormat="1" applyFont="1" applyFill="1" applyBorder="1" applyAlignment="1">
      <alignment horizontal="left"/>
    </xf>
    <xf numFmtId="177" fontId="15" fillId="0" borderId="1" xfId="0" applyNumberFormat="1" applyFont="1" applyFill="1" applyBorder="1" applyAlignment="1">
      <alignment horizontal="right"/>
    </xf>
    <xf numFmtId="2" fontId="12" fillId="0" borderId="6" xfId="0" applyNumberFormat="1" applyFont="1" applyFill="1" applyBorder="1" applyAlignment="1"/>
    <xf numFmtId="2" fontId="12" fillId="0" borderId="7" xfId="0" applyNumberFormat="1" applyFont="1" applyFill="1" applyBorder="1" applyAlignment="1">
      <alignment horizontal="right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>
      <alignment horizontal="right"/>
    </xf>
    <xf numFmtId="0" fontId="13" fillId="0" borderId="0" xfId="0" applyFont="1" applyBorder="1" applyAlignment="1">
      <alignment horizontal="center"/>
    </xf>
    <xf numFmtId="0" fontId="12" fillId="0" borderId="9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right"/>
    </xf>
    <xf numFmtId="0" fontId="12" fillId="0" borderId="0" xfId="0" applyFont="1" applyBorder="1" applyAlignment="1">
      <alignment horizontal="center" vertical="center" wrapText="1"/>
    </xf>
    <xf numFmtId="2" fontId="66" fillId="0" borderId="0" xfId="0" applyNumberFormat="1" applyFont="1" applyBorder="1" applyAlignment="1">
      <alignment horizontal="center" wrapText="1"/>
    </xf>
    <xf numFmtId="2" fontId="66" fillId="0" borderId="0" xfId="0" applyNumberFormat="1" applyFont="1" applyAlignment="1">
      <alignment wrapText="1"/>
    </xf>
    <xf numFmtId="0" fontId="66" fillId="0" borderId="0" xfId="0" applyFont="1" applyAlignment="1">
      <alignment wrapText="1"/>
    </xf>
    <xf numFmtId="2" fontId="66" fillId="0" borderId="0" xfId="0" applyNumberFormat="1" applyFont="1" applyAlignment="1">
      <alignment horizontal="center" wrapText="1"/>
    </xf>
    <xf numFmtId="0" fontId="12" fillId="0" borderId="0" xfId="0" applyFont="1" applyBorder="1" applyAlignment="1">
      <alignment wrapText="1"/>
    </xf>
    <xf numFmtId="0" fontId="12" fillId="0" borderId="10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right" wrapText="1"/>
    </xf>
    <xf numFmtId="0" fontId="12" fillId="0" borderId="8" xfId="0" applyFont="1" applyBorder="1" applyAlignment="1">
      <alignment vertical="center" wrapText="1"/>
    </xf>
    <xf numFmtId="2" fontId="12" fillId="0" borderId="0" xfId="0" applyNumberFormat="1" applyFont="1" applyFill="1" applyBorder="1"/>
    <xf numFmtId="0" fontId="25" fillId="0" borderId="1" xfId="0" applyFont="1" applyFill="1" applyBorder="1" applyAlignment="1" applyProtection="1">
      <alignment horizontal="center" vertical="center"/>
    </xf>
    <xf numFmtId="0" fontId="25" fillId="0" borderId="1" xfId="0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right"/>
    </xf>
    <xf numFmtId="0" fontId="15" fillId="0" borderId="0" xfId="0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/>
    </xf>
    <xf numFmtId="0" fontId="24" fillId="0" borderId="1" xfId="0" applyFont="1" applyFill="1" applyBorder="1" applyAlignment="1" applyProtection="1">
      <alignment horizontal="center" vertical="center" textRotation="90" wrapText="1"/>
    </xf>
    <xf numFmtId="175" fontId="57" fillId="0" borderId="0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horizontal="right" vertical="top" wrapText="1"/>
    </xf>
    <xf numFmtId="0" fontId="17" fillId="0" borderId="1" xfId="0" applyFont="1" applyFill="1" applyBorder="1" applyAlignment="1">
      <alignment horizontal="right" vertical="center" wrapText="1"/>
    </xf>
    <xf numFmtId="0" fontId="62" fillId="0" borderId="1" xfId="0" applyFont="1" applyFill="1" applyBorder="1" applyAlignment="1">
      <alignment horizontal="center" vertical="center" wrapText="1"/>
    </xf>
    <xf numFmtId="2" fontId="12" fillId="0" borderId="0" xfId="0" applyNumberFormat="1" applyFont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right" vertical="top" wrapText="1"/>
    </xf>
    <xf numFmtId="2" fontId="17" fillId="0" borderId="0" xfId="1" applyNumberFormat="1" applyFont="1" applyFill="1" applyBorder="1" applyAlignment="1" applyProtection="1">
      <alignment horizontal="right"/>
    </xf>
    <xf numFmtId="49" fontId="24" fillId="0" borderId="0" xfId="0" applyNumberFormat="1" applyFont="1" applyFill="1" applyBorder="1" applyAlignment="1" applyProtection="1">
      <alignment horizontal="left"/>
    </xf>
    <xf numFmtId="0" fontId="12" fillId="0" borderId="0" xfId="0" applyFont="1" applyBorder="1" applyAlignment="1">
      <alignment horizontal="left" wrapText="1"/>
    </xf>
    <xf numFmtId="0" fontId="15" fillId="0" borderId="1" xfId="0" applyFont="1" applyBorder="1" applyAlignment="1">
      <alignment horizontal="left" wrapText="1"/>
    </xf>
    <xf numFmtId="0" fontId="14" fillId="0" borderId="0" xfId="0" applyFont="1" applyBorder="1" applyAlignment="1">
      <alignment horizontal="right" wrapText="1"/>
    </xf>
    <xf numFmtId="0" fontId="12" fillId="0" borderId="0" xfId="0" applyFont="1" applyBorder="1" applyAlignment="1">
      <alignment horizontal="right"/>
    </xf>
    <xf numFmtId="0" fontId="16" fillId="0" borderId="0" xfId="0" applyFont="1" applyBorder="1" applyAlignment="1">
      <alignment horizontal="right"/>
    </xf>
    <xf numFmtId="0" fontId="13" fillId="0" borderId="0" xfId="0" applyFont="1" applyBorder="1" applyAlignment="1">
      <alignment horizontal="center"/>
    </xf>
    <xf numFmtId="0" fontId="14" fillId="0" borderId="1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5" fillId="0" borderId="0" xfId="0" applyFont="1" applyFill="1" applyBorder="1" applyAlignment="1" applyProtection="1">
      <alignment horizontal="left" wrapText="1"/>
    </xf>
    <xf numFmtId="0" fontId="12" fillId="0" borderId="0" xfId="0" applyFont="1" applyFill="1" applyBorder="1" applyAlignment="1" applyProtection="1">
      <alignment horizontal="left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/>
    </xf>
    <xf numFmtId="0" fontId="21" fillId="0" borderId="1" xfId="0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12" fillId="0" borderId="6" xfId="0" applyFont="1" applyBorder="1" applyAlignment="1">
      <alignment horizontal="center" wrapText="1"/>
    </xf>
    <xf numFmtId="0" fontId="16" fillId="0" borderId="0" xfId="0" applyFont="1" applyAlignment="1">
      <alignment horizontal="center" vertical="top"/>
    </xf>
    <xf numFmtId="0" fontId="15" fillId="0" borderId="0" xfId="0" applyFont="1" applyFill="1" applyBorder="1" applyAlignment="1" applyProtection="1">
      <alignment horizontal="right"/>
    </xf>
    <xf numFmtId="0" fontId="15" fillId="0" borderId="0" xfId="0" applyFont="1" applyFill="1" applyBorder="1" applyAlignment="1">
      <alignment horizontal="right"/>
    </xf>
    <xf numFmtId="0" fontId="22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right"/>
    </xf>
    <xf numFmtId="2" fontId="25" fillId="0" borderId="0" xfId="0" applyNumberFormat="1" applyFont="1" applyFill="1" applyBorder="1" applyAlignment="1">
      <alignment horizontal="left"/>
    </xf>
    <xf numFmtId="0" fontId="15" fillId="0" borderId="0" xfId="0" applyFont="1" applyFill="1" applyBorder="1" applyAlignment="1">
      <alignment horizontal="center"/>
    </xf>
    <xf numFmtId="0" fontId="24" fillId="0" borderId="1" xfId="0" applyFont="1" applyFill="1" applyBorder="1" applyAlignment="1" applyProtection="1">
      <alignment horizontal="center" vertical="center" textRotation="90" wrapText="1"/>
    </xf>
    <xf numFmtId="0" fontId="24" fillId="0" borderId="1" xfId="0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/>
    </xf>
    <xf numFmtId="2" fontId="8" fillId="0" borderId="4" xfId="1" applyNumberFormat="1" applyFont="1" applyFill="1" applyBorder="1" applyAlignment="1" applyProtection="1">
      <alignment horizontal="center"/>
    </xf>
    <xf numFmtId="0" fontId="24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right"/>
    </xf>
    <xf numFmtId="0" fontId="17" fillId="0" borderId="1" xfId="0" applyFont="1" applyFill="1" applyBorder="1" applyAlignment="1">
      <alignment horizontal="right" wrapText="1"/>
    </xf>
    <xf numFmtId="175" fontId="57" fillId="0" borderId="0" xfId="0" applyNumberFormat="1" applyFont="1" applyFill="1" applyBorder="1" applyAlignment="1">
      <alignment horizontal="center"/>
    </xf>
    <xf numFmtId="0" fontId="17" fillId="0" borderId="1" xfId="0" applyFont="1" applyFill="1" applyBorder="1" applyAlignment="1">
      <alignment horizontal="right" vertical="top"/>
    </xf>
    <xf numFmtId="0" fontId="17" fillId="0" borderId="1" xfId="0" applyFont="1" applyFill="1" applyBorder="1" applyAlignment="1">
      <alignment horizontal="right" vertical="top" wrapText="1"/>
    </xf>
    <xf numFmtId="0" fontId="17" fillId="0" borderId="1" xfId="0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right" vertical="center" wrapText="1"/>
    </xf>
  </cellXfs>
  <cellStyles count="31">
    <cellStyle name="_Real jumtins" xfId="3"/>
    <cellStyle name="_TreijsAgris jumts(Kubins)" xfId="4"/>
    <cellStyle name="Äåķåęķūé [0]_laroux" xfId="26"/>
    <cellStyle name="Äåķåęķūé_laroux" xfId="27"/>
    <cellStyle name="Date" xfId="5"/>
    <cellStyle name="Dezimal [0]_Nossner_Brücke" xfId="6"/>
    <cellStyle name="Dezimal_en_Master" xfId="7"/>
    <cellStyle name="Divider" xfId="8"/>
    <cellStyle name="Euro" xfId="9"/>
    <cellStyle name="Fixed" xfId="10"/>
    <cellStyle name="Heading1 1" xfId="11"/>
    <cellStyle name="Heading1 2" xfId="12"/>
    <cellStyle name="Heading2" xfId="13"/>
    <cellStyle name="Headline I" xfId="14"/>
    <cellStyle name="Headline II" xfId="15"/>
    <cellStyle name="Headline III" xfId="16"/>
    <cellStyle name="Īįū÷ķūé_laroux" xfId="28"/>
    <cellStyle name="Komats" xfId="1" builtinId="3"/>
    <cellStyle name="Normaali_light-98_gun" xfId="17"/>
    <cellStyle name="Normal 2" xfId="18"/>
    <cellStyle name="Parasts" xfId="0" builtinId="0"/>
    <cellStyle name="Position" xfId="19"/>
    <cellStyle name="Procenti" xfId="2" builtinId="5"/>
    <cellStyle name="Standard_cm_Master" xfId="20"/>
    <cellStyle name="Style 1" xfId="21"/>
    <cellStyle name="Style 2" xfId="22"/>
    <cellStyle name="Unit" xfId="23"/>
    <cellStyle name="Währung [0]_Nossner_Brücke" xfId="24"/>
    <cellStyle name="Währung_en_Master" xfId="25"/>
    <cellStyle name="Обычный_Jelgavas_сметы-конкурс" xfId="29"/>
    <cellStyle name="Финансовый_VID_Rigas_Muita BST 1 un 2 karta" xfId="3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FBFBF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FDFD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me2\c\Tames&amp;Tames\Formati\kop-tamem-3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ira\c\My%20Documents\Tames_2001\Sigulda_RaibaisSun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t,rād."/>
      <sheetName val="KOPRĀME-1"/>
      <sheetName val=" veids2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00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A1">
            <v>1.5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-1X(527)"/>
      <sheetName val="G-1X(2520)"/>
      <sheetName val="Variāntu_salīdzīnājums"/>
      <sheetName val="G-1X(2520+mastertop)"/>
      <sheetName val="G-3(540)"/>
      <sheetName val="Lokala_tāme"/>
      <sheetName val="plēve"/>
      <sheetName val="maks_graf."/>
      <sheetName val="grafiks_ligumām"/>
      <sheetName val="darbagrafiks"/>
      <sheetName val="Sheet1"/>
      <sheetName val="betons"/>
      <sheetName val="G_1X_2520_mastertop_"/>
    </sheetNames>
    <sheetDataSet>
      <sheetData sheetId="0" refreshError="1"/>
      <sheetData sheetId="1" refreshError="1"/>
      <sheetData sheetId="2" refreshError="1"/>
      <sheetData sheetId="3" refreshError="1">
        <row r="9">
          <cell r="B9">
            <v>2520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7" zoomScale="66" zoomScaleNormal="66" workbookViewId="0">
      <selection activeCell="C13" sqref="C13:C18"/>
    </sheetView>
  </sheetViews>
  <sheetFormatPr defaultRowHeight="15"/>
  <cols>
    <col min="1" max="1" width="11.796875" style="1" customWidth="1"/>
    <col min="2" max="2" width="33.8984375" style="1" customWidth="1"/>
    <col min="3" max="4" width="17.296875" style="1" customWidth="1"/>
    <col min="5" max="5" width="18.796875" style="2" customWidth="1"/>
    <col min="6" max="16384" width="8.796875" style="2"/>
  </cols>
  <sheetData>
    <row r="1" spans="1:5" ht="24" customHeight="1">
      <c r="C1" s="1" t="s">
        <v>0</v>
      </c>
    </row>
    <row r="2" spans="1:5" ht="45.75" customHeight="1">
      <c r="A2" s="253" t="s">
        <v>1</v>
      </c>
      <c r="B2" s="253"/>
      <c r="C2" s="253"/>
      <c r="D2" s="222"/>
    </row>
    <row r="3" spans="1:5">
      <c r="A3" s="254" t="s">
        <v>2</v>
      </c>
      <c r="B3" s="254"/>
      <c r="C3" s="254"/>
      <c r="D3" s="225"/>
    </row>
    <row r="4" spans="1:5" ht="19.5" customHeight="1">
      <c r="C4" s="212" t="s">
        <v>3</v>
      </c>
      <c r="D4" s="212"/>
    </row>
    <row r="5" spans="1:5" ht="23.25" customHeight="1">
      <c r="A5" s="253" t="s">
        <v>407</v>
      </c>
      <c r="B5" s="253"/>
      <c r="C5" s="253"/>
      <c r="D5" s="222"/>
    </row>
    <row r="6" spans="1:5" ht="74.25" customHeight="1">
      <c r="A6" s="3"/>
      <c r="B6" s="3"/>
      <c r="C6" s="3"/>
      <c r="D6" s="3"/>
    </row>
    <row r="7" spans="1:5" ht="18">
      <c r="A7" s="255" t="s">
        <v>413</v>
      </c>
      <c r="B7" s="255"/>
      <c r="C7" s="255"/>
      <c r="D7" s="223"/>
    </row>
    <row r="8" spans="1:5" ht="21.75" customHeight="1">
      <c r="A8" s="250"/>
      <c r="B8" s="250"/>
      <c r="C8" s="250"/>
      <c r="D8" s="221"/>
    </row>
    <row r="9" spans="1:5" ht="40.15" customHeight="1">
      <c r="A9" s="250" t="str">
        <f>KA_1!A4:H4</f>
        <v>Objekta nosaukums un adrese: Skvēru un piegulošās teritorijas labiekārtojums, 1.kārta,  Rīgas ielā 101 un 103, Līvānos</v>
      </c>
      <c r="B9" s="250"/>
      <c r="C9" s="250"/>
      <c r="D9" s="221"/>
    </row>
    <row r="10" spans="1:5" ht="28.5" customHeight="1">
      <c r="A10" s="250" t="str">
        <f>KA_1!A5:H5</f>
        <v>Pasūtījuma Nr.:             16-02</v>
      </c>
      <c r="B10" s="250"/>
      <c r="C10" s="250"/>
      <c r="D10" s="221"/>
    </row>
    <row r="11" spans="1:5">
      <c r="A11" s="4"/>
      <c r="C11" s="3"/>
      <c r="D11" s="3"/>
    </row>
    <row r="12" spans="1:5" s="6" customFormat="1" ht="30">
      <c r="A12" s="5" t="s">
        <v>4</v>
      </c>
      <c r="B12" s="224" t="s">
        <v>5</v>
      </c>
      <c r="C12" s="5" t="s">
        <v>383</v>
      </c>
      <c r="D12" s="226"/>
    </row>
    <row r="13" spans="1:5" s="6" customFormat="1" ht="64.5" customHeight="1">
      <c r="A13" s="232">
        <v>1</v>
      </c>
      <c r="B13" s="234" t="str">
        <f>A9</f>
        <v>Objekta nosaukums un adrese: Skvēru un piegulošās teritorijas labiekārtojums, 1.kārta,  Rīgas ielā 101 un 103, Līvānos</v>
      </c>
      <c r="C13" s="246"/>
      <c r="D13" s="231"/>
    </row>
    <row r="14" spans="1:5" s="6" customFormat="1" ht="30" customHeight="1">
      <c r="A14" s="7"/>
      <c r="B14" s="233" t="s">
        <v>6</v>
      </c>
      <c r="C14" s="8"/>
      <c r="D14" s="227"/>
      <c r="E14" s="228"/>
    </row>
    <row r="15" spans="1:5" s="6" customFormat="1" ht="30" customHeight="1">
      <c r="A15" s="250"/>
      <c r="B15" s="250"/>
      <c r="C15" s="9"/>
      <c r="D15" s="227"/>
      <c r="E15" s="229"/>
    </row>
    <row r="16" spans="1:5" s="6" customFormat="1" ht="30" customHeight="1">
      <c r="A16" s="251" t="s">
        <v>7</v>
      </c>
      <c r="B16" s="251"/>
      <c r="C16" s="10"/>
      <c r="D16" s="227"/>
      <c r="E16" s="228"/>
    </row>
    <row r="17" spans="1:5" s="6" customFormat="1" ht="30" customHeight="1">
      <c r="D17" s="229"/>
      <c r="E17" s="229"/>
    </row>
    <row r="18" spans="1:5" s="6" customFormat="1" ht="30" customHeight="1">
      <c r="A18" s="252" t="s">
        <v>8</v>
      </c>
      <c r="B18" s="252"/>
      <c r="C18" s="11"/>
      <c r="D18" s="230"/>
      <c r="E18" s="228"/>
    </row>
    <row r="19" spans="1:5" s="6" customFormat="1" ht="15.75">
      <c r="A19" s="12"/>
      <c r="B19" s="12"/>
      <c r="C19" s="11"/>
      <c r="D19" s="11"/>
    </row>
    <row r="20" spans="1:5" s="6" customFormat="1" ht="15.75">
      <c r="A20" s="12"/>
      <c r="B20" s="12"/>
      <c r="C20" s="11"/>
      <c r="D20" s="11"/>
    </row>
    <row r="21" spans="1:5" s="6" customFormat="1">
      <c r="A21" s="13" t="s">
        <v>9</v>
      </c>
      <c r="B21" s="14"/>
      <c r="C21" s="15"/>
      <c r="D21" s="15"/>
    </row>
    <row r="22" spans="1:5">
      <c r="A22" s="4"/>
      <c r="B22" s="16" t="s">
        <v>10</v>
      </c>
    </row>
    <row r="23" spans="1:5" ht="21" customHeight="1">
      <c r="A23" s="4" t="s">
        <v>11</v>
      </c>
      <c r="B23" s="4"/>
    </row>
    <row r="24" spans="1:5">
      <c r="A24" s="4"/>
    </row>
  </sheetData>
  <sheetProtection selectLockedCells="1" selectUnlockedCells="1"/>
  <mergeCells count="10">
    <mergeCell ref="A15:B15"/>
    <mergeCell ref="A16:B16"/>
    <mergeCell ref="A18:B18"/>
    <mergeCell ref="A2:C2"/>
    <mergeCell ref="A3:C3"/>
    <mergeCell ref="A5:C5"/>
    <mergeCell ref="A7:C7"/>
    <mergeCell ref="A8:C8"/>
    <mergeCell ref="A9:C9"/>
    <mergeCell ref="A10:C10"/>
  </mergeCells>
  <pageMargins left="1.2598425196850394" right="0.55118110236220474" top="0.98425196850393704" bottom="0.70866141732283472" header="0.51181102362204722" footer="0.51181102362204722"/>
  <pageSetup paperSize="9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="50" zoomScaleNormal="50" workbookViewId="0">
      <selection activeCell="D6" sqref="D6:D7"/>
    </sheetView>
  </sheetViews>
  <sheetFormatPr defaultRowHeight="15"/>
  <cols>
    <col min="1" max="1" width="8.796875" style="17"/>
    <col min="2" max="2" width="6.59765625" style="17" customWidth="1"/>
    <col min="3" max="3" width="20.59765625" style="17" customWidth="1"/>
    <col min="4" max="4" width="17" style="17" customWidth="1"/>
    <col min="5" max="6" width="11.09765625" style="17" customWidth="1"/>
    <col min="7" max="7" width="11.59765625" style="17" customWidth="1"/>
    <col min="8" max="8" width="12.3984375" style="17" customWidth="1"/>
    <col min="9" max="16384" width="8.796875" style="17"/>
  </cols>
  <sheetData>
    <row r="1" spans="1:9" ht="27.75" customHeight="1">
      <c r="A1" s="257" t="s">
        <v>408</v>
      </c>
      <c r="B1" s="257"/>
      <c r="C1" s="257"/>
      <c r="D1" s="257"/>
      <c r="E1" s="257"/>
      <c r="F1" s="257"/>
      <c r="G1" s="257"/>
      <c r="H1" s="257"/>
    </row>
    <row r="2" spans="1:9">
      <c r="A2" s="258" t="s">
        <v>13</v>
      </c>
      <c r="B2" s="258"/>
      <c r="C2" s="258"/>
      <c r="D2" s="258"/>
      <c r="E2" s="258"/>
      <c r="F2" s="258"/>
      <c r="G2" s="258"/>
      <c r="H2" s="258"/>
    </row>
    <row r="3" spans="1:9" ht="15.75">
      <c r="A3" s="18"/>
      <c r="B3" s="18"/>
      <c r="C3" s="18"/>
      <c r="D3" s="18"/>
      <c r="E3" s="18"/>
      <c r="F3" s="18"/>
      <c r="G3" s="18"/>
      <c r="H3" s="18"/>
    </row>
    <row r="4" spans="1:9" ht="33.200000000000003" customHeight="1">
      <c r="A4" s="259" t="s">
        <v>405</v>
      </c>
      <c r="B4" s="259"/>
      <c r="C4" s="259"/>
      <c r="D4" s="259"/>
      <c r="E4" s="259"/>
      <c r="F4" s="259"/>
      <c r="G4" s="259"/>
      <c r="H4" s="259"/>
    </row>
    <row r="5" spans="1:9" ht="21" customHeight="1">
      <c r="A5" s="260" t="s">
        <v>406</v>
      </c>
      <c r="B5" s="260"/>
      <c r="C5" s="260"/>
      <c r="D5" s="260"/>
      <c r="E5" s="260"/>
      <c r="F5" s="260"/>
      <c r="G5" s="260"/>
      <c r="H5" s="260"/>
    </row>
    <row r="6" spans="1:9">
      <c r="A6" s="19"/>
      <c r="B6" s="19"/>
      <c r="C6" s="19" t="s">
        <v>395</v>
      </c>
      <c r="D6" s="219"/>
      <c r="E6" s="20"/>
      <c r="F6" s="20"/>
      <c r="G6" s="20"/>
      <c r="H6" s="20"/>
    </row>
    <row r="7" spans="1:9">
      <c r="A7" s="19"/>
      <c r="B7" s="19"/>
      <c r="C7" s="19" t="s">
        <v>14</v>
      </c>
      <c r="D7" s="220"/>
      <c r="E7" s="20"/>
      <c r="F7" s="20"/>
      <c r="G7" s="20"/>
      <c r="H7" s="20"/>
    </row>
    <row r="9" spans="1:9" ht="15.75" customHeight="1">
      <c r="A9" s="261" t="s">
        <v>4</v>
      </c>
      <c r="B9" s="261" t="s">
        <v>15</v>
      </c>
      <c r="C9" s="261" t="s">
        <v>16</v>
      </c>
      <c r="D9" s="261" t="s">
        <v>384</v>
      </c>
      <c r="E9" s="262" t="s">
        <v>17</v>
      </c>
      <c r="F9" s="262"/>
      <c r="G9" s="262"/>
      <c r="H9" s="261" t="s">
        <v>18</v>
      </c>
    </row>
    <row r="10" spans="1:9" s="23" customFormat="1" ht="45" customHeight="1">
      <c r="A10" s="261"/>
      <c r="B10" s="261"/>
      <c r="C10" s="261"/>
      <c r="D10" s="261"/>
      <c r="E10" s="21" t="s">
        <v>385</v>
      </c>
      <c r="F10" s="21" t="s">
        <v>386</v>
      </c>
      <c r="G10" s="21" t="s">
        <v>387</v>
      </c>
      <c r="H10" s="261"/>
    </row>
    <row r="11" spans="1:9" ht="51" customHeight="1">
      <c r="A11" s="22">
        <v>1</v>
      </c>
      <c r="B11" s="24" t="s">
        <v>398</v>
      </c>
      <c r="C11" s="25" t="s">
        <v>397</v>
      </c>
      <c r="D11" s="26"/>
      <c r="E11" s="26"/>
      <c r="F11" s="26"/>
      <c r="G11" s="26"/>
      <c r="H11" s="26"/>
      <c r="I11" s="235"/>
    </row>
    <row r="12" spans="1:9" ht="45" customHeight="1">
      <c r="A12" s="22">
        <v>3</v>
      </c>
      <c r="B12" s="24" t="s">
        <v>400</v>
      </c>
      <c r="C12" s="25" t="s">
        <v>420</v>
      </c>
      <c r="D12" s="26"/>
      <c r="E12" s="26"/>
      <c r="F12" s="26"/>
      <c r="G12" s="26"/>
      <c r="H12" s="26"/>
      <c r="I12" s="235"/>
    </row>
    <row r="13" spans="1:9" ht="45" customHeight="1">
      <c r="A13" s="22">
        <v>4</v>
      </c>
      <c r="B13" s="24" t="s">
        <v>466</v>
      </c>
      <c r="C13" s="25" t="s">
        <v>498</v>
      </c>
      <c r="D13" s="27"/>
      <c r="E13" s="26"/>
      <c r="F13" s="26"/>
      <c r="G13" s="26"/>
      <c r="H13" s="26"/>
    </row>
    <row r="14" spans="1:9" ht="45" customHeight="1">
      <c r="A14" s="22">
        <v>6</v>
      </c>
      <c r="B14" s="24" t="s">
        <v>399</v>
      </c>
      <c r="C14" s="25" t="s">
        <v>424</v>
      </c>
      <c r="D14" s="26"/>
      <c r="E14" s="26"/>
      <c r="F14" s="26"/>
      <c r="G14" s="26"/>
      <c r="H14" s="26"/>
    </row>
    <row r="15" spans="1:9" ht="50.1" customHeight="1">
      <c r="A15" s="256" t="s">
        <v>6</v>
      </c>
      <c r="B15" s="256"/>
      <c r="C15" s="256"/>
      <c r="D15" s="26"/>
      <c r="E15" s="26"/>
      <c r="F15" s="26"/>
      <c r="G15" s="26"/>
      <c r="H15" s="26"/>
    </row>
    <row r="16" spans="1:9" ht="50.1" customHeight="1">
      <c r="A16" s="256" t="s">
        <v>19</v>
      </c>
      <c r="B16" s="256"/>
      <c r="C16" s="256"/>
      <c r="D16" s="26"/>
    </row>
    <row r="17" spans="1:8" ht="50.1" customHeight="1">
      <c r="A17" s="263" t="s">
        <v>20</v>
      </c>
      <c r="B17" s="263"/>
      <c r="C17" s="263"/>
      <c r="D17" s="26"/>
    </row>
    <row r="18" spans="1:8" ht="50.1" customHeight="1">
      <c r="A18" s="256" t="s">
        <v>21</v>
      </c>
      <c r="B18" s="256"/>
      <c r="C18" s="256"/>
      <c r="D18" s="26"/>
    </row>
    <row r="19" spans="1:8" ht="50.1" customHeight="1">
      <c r="A19" s="256" t="s">
        <v>396</v>
      </c>
      <c r="B19" s="256"/>
      <c r="C19" s="256"/>
      <c r="D19" s="26"/>
    </row>
    <row r="20" spans="1:8" ht="50.1" customHeight="1">
      <c r="A20" s="256" t="s">
        <v>12</v>
      </c>
      <c r="B20" s="256"/>
      <c r="C20" s="256"/>
      <c r="D20" s="26"/>
    </row>
    <row r="25" spans="1:8" ht="15" customHeight="1">
      <c r="A25" s="13" t="s">
        <v>9</v>
      </c>
      <c r="B25" s="265"/>
      <c r="C25" s="265"/>
      <c r="D25" s="265"/>
      <c r="E25" s="15"/>
      <c r="F25" s="210"/>
      <c r="G25" s="210"/>
      <c r="H25" s="210"/>
    </row>
    <row r="26" spans="1:8" ht="15.75" customHeight="1">
      <c r="A26" s="4"/>
      <c r="B26" s="266" t="s">
        <v>10</v>
      </c>
      <c r="C26" s="266"/>
      <c r="D26" s="211"/>
      <c r="E26" s="211"/>
    </row>
    <row r="27" spans="1:8">
      <c r="A27" s="4"/>
      <c r="B27" s="4"/>
      <c r="C27" s="1"/>
    </row>
    <row r="29" spans="1:8" ht="15" customHeight="1">
      <c r="A29" s="13" t="s">
        <v>56</v>
      </c>
      <c r="B29" s="265"/>
      <c r="C29" s="265"/>
      <c r="D29" s="265"/>
      <c r="E29" s="15"/>
    </row>
    <row r="30" spans="1:8">
      <c r="A30" s="4"/>
      <c r="B30" s="266" t="s">
        <v>10</v>
      </c>
      <c r="C30" s="266"/>
      <c r="D30" s="211"/>
    </row>
    <row r="32" spans="1:8" ht="15" customHeight="1">
      <c r="A32" s="264" t="s">
        <v>11</v>
      </c>
      <c r="B32" s="264"/>
      <c r="C32" s="4"/>
    </row>
  </sheetData>
  <sheetProtection selectLockedCells="1" selectUnlockedCells="1"/>
  <mergeCells count="21">
    <mergeCell ref="A32:B32"/>
    <mergeCell ref="B25:D25"/>
    <mergeCell ref="B29:D29"/>
    <mergeCell ref="B26:C26"/>
    <mergeCell ref="B30:C30"/>
    <mergeCell ref="A20:C20"/>
    <mergeCell ref="A1:H1"/>
    <mergeCell ref="A2:H2"/>
    <mergeCell ref="A4:H4"/>
    <mergeCell ref="A5:H5"/>
    <mergeCell ref="A9:A10"/>
    <mergeCell ref="B9:B10"/>
    <mergeCell ref="C9:C10"/>
    <mergeCell ref="D9:D10"/>
    <mergeCell ref="E9:G9"/>
    <mergeCell ref="H9:H10"/>
    <mergeCell ref="A15:C15"/>
    <mergeCell ref="A16:C16"/>
    <mergeCell ref="A17:C17"/>
    <mergeCell ref="A18:C18"/>
    <mergeCell ref="A19:C19"/>
  </mergeCells>
  <pageMargins left="1.1417322834645669" right="0.31496062992125984" top="0.78740157480314965" bottom="0.62992125984251968" header="0.51181102362204722" footer="0.51181102362204722"/>
  <pageSetup paperSize="9" scale="68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88"/>
  <sheetViews>
    <sheetView topLeftCell="A7" zoomScale="50" zoomScaleNormal="50" zoomScaleSheetLayoutView="55" workbookViewId="0">
      <selection activeCell="L25" sqref="L25:P26"/>
    </sheetView>
  </sheetViews>
  <sheetFormatPr defaultColWidth="33.296875" defaultRowHeight="12.75"/>
  <cols>
    <col min="1" max="2" width="6.69921875" style="28" customWidth="1"/>
    <col min="3" max="3" width="26.59765625" style="29" customWidth="1"/>
    <col min="4" max="4" width="6.8984375" style="30" customWidth="1"/>
    <col min="5" max="5" width="8.3984375" style="28" customWidth="1"/>
    <col min="6" max="6" width="7.19921875" style="29" customWidth="1"/>
    <col min="7" max="7" width="8" style="29" customWidth="1"/>
    <col min="8" max="8" width="8.59765625" style="31" customWidth="1"/>
    <col min="9" max="9" width="8.3984375" style="31" customWidth="1"/>
    <col min="10" max="11" width="10.09765625" style="29" customWidth="1"/>
    <col min="12" max="12" width="8.8984375" style="29" customWidth="1"/>
    <col min="13" max="13" width="10.3984375" style="29" customWidth="1"/>
    <col min="14" max="14" width="10.796875" style="29" customWidth="1"/>
    <col min="15" max="15" width="11.19921875" style="29" customWidth="1"/>
    <col min="16" max="16" width="12.3984375" style="29" customWidth="1"/>
    <col min="17" max="32" width="10.19921875" style="29" customWidth="1"/>
    <col min="33" max="16384" width="33.296875" style="29"/>
  </cols>
  <sheetData>
    <row r="1" spans="1:16" ht="19.5" customHeight="1">
      <c r="A1" s="269" t="s">
        <v>401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</row>
    <row r="2" spans="1:16" ht="19.5" customHeight="1">
      <c r="A2" s="270" t="s">
        <v>22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</row>
    <row r="3" spans="1:16" ht="19.5" customHeight="1">
      <c r="A3" s="32"/>
      <c r="B3" s="32"/>
      <c r="C3" s="33"/>
      <c r="D3" s="34"/>
      <c r="E3" s="34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16" ht="20.100000000000001" customHeight="1">
      <c r="A4" s="32"/>
      <c r="B4" s="32"/>
      <c r="C4" s="33"/>
      <c r="D4" s="34"/>
      <c r="E4" s="34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</row>
    <row r="5" spans="1:16" ht="20.100000000000001" customHeight="1">
      <c r="A5" s="32" t="str">
        <f>KA_1!A4:H4</f>
        <v>Objekta nosaukums un adrese: Skvēru un piegulošās teritorijas labiekārtojums, 1.kārta,  Rīgas ielā 101 un 103, Līvānos</v>
      </c>
      <c r="B5" s="32"/>
      <c r="C5" s="33"/>
      <c r="D5" s="34"/>
      <c r="E5" s="34"/>
      <c r="F5" s="35"/>
      <c r="G5" s="35"/>
      <c r="H5" s="35"/>
      <c r="I5" s="35"/>
      <c r="J5" s="35"/>
      <c r="L5" s="35"/>
      <c r="M5" s="36"/>
      <c r="N5" s="35"/>
      <c r="O5" s="35"/>
      <c r="P5" s="35"/>
    </row>
    <row r="6" spans="1:16" ht="20.100000000000001" customHeight="1">
      <c r="A6" s="32" t="str">
        <f>KA_1!A5:H5</f>
        <v>Pasūtījuma Nr.:             16-02</v>
      </c>
      <c r="B6" s="32"/>
      <c r="C6" s="33"/>
      <c r="D6" s="34"/>
      <c r="E6" s="34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 ht="20.100000000000001" customHeight="1">
      <c r="A7" s="32" t="s">
        <v>410</v>
      </c>
      <c r="B7" s="32"/>
      <c r="C7" s="33"/>
      <c r="D7" s="34"/>
      <c r="E7" s="34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 ht="20.100000000000001" customHeight="1">
      <c r="A8" s="36"/>
      <c r="B8" s="37"/>
      <c r="C8" s="33"/>
      <c r="D8" s="34"/>
      <c r="E8" s="29"/>
      <c r="F8" s="35"/>
      <c r="G8" s="35"/>
      <c r="H8" s="35"/>
      <c r="I8" s="35"/>
      <c r="J8" s="35"/>
      <c r="K8" s="38"/>
      <c r="L8" s="35"/>
      <c r="M8" s="271" t="s">
        <v>394</v>
      </c>
      <c r="N8" s="271"/>
      <c r="O8" s="272">
        <f>P26</f>
        <v>0</v>
      </c>
      <c r="P8" s="272"/>
    </row>
    <row r="9" spans="1:16" ht="20.100000000000001" customHeight="1">
      <c r="A9" s="32"/>
      <c r="B9" s="32"/>
      <c r="C9" s="32"/>
      <c r="D9" s="33"/>
      <c r="E9" s="273"/>
      <c r="F9" s="273"/>
      <c r="G9" s="273"/>
      <c r="H9" s="273"/>
      <c r="I9" s="273"/>
      <c r="J9" s="273"/>
      <c r="K9" s="273"/>
      <c r="L9" s="273"/>
      <c r="M9" s="273"/>
      <c r="N9" s="273"/>
      <c r="O9" s="273"/>
      <c r="P9" s="273"/>
    </row>
    <row r="10" spans="1:16" ht="20.100000000000001" customHeight="1">
      <c r="A10" s="274" t="s">
        <v>4</v>
      </c>
      <c r="B10" s="274" t="s">
        <v>23</v>
      </c>
      <c r="C10" s="275" t="s">
        <v>24</v>
      </c>
      <c r="D10" s="274" t="s">
        <v>25</v>
      </c>
      <c r="E10" s="274" t="s">
        <v>411</v>
      </c>
      <c r="F10" s="278" t="s">
        <v>26</v>
      </c>
      <c r="G10" s="278"/>
      <c r="H10" s="278"/>
      <c r="I10" s="278"/>
      <c r="J10" s="278"/>
      <c r="K10" s="278"/>
      <c r="L10" s="278" t="s">
        <v>27</v>
      </c>
      <c r="M10" s="278"/>
      <c r="N10" s="278"/>
      <c r="O10" s="278"/>
      <c r="P10" s="278"/>
    </row>
    <row r="11" spans="1:16" ht="117.75" customHeight="1">
      <c r="A11" s="274"/>
      <c r="B11" s="274"/>
      <c r="C11" s="275"/>
      <c r="D11" s="274"/>
      <c r="E11" s="274"/>
      <c r="F11" s="39" t="s">
        <v>28</v>
      </c>
      <c r="G11" s="209" t="s">
        <v>388</v>
      </c>
      <c r="H11" s="39" t="s">
        <v>389</v>
      </c>
      <c r="I11" s="39" t="s">
        <v>390</v>
      </c>
      <c r="J11" s="39" t="s">
        <v>391</v>
      </c>
      <c r="K11" s="39" t="s">
        <v>392</v>
      </c>
      <c r="L11" s="39" t="s">
        <v>29</v>
      </c>
      <c r="M11" s="39" t="s">
        <v>389</v>
      </c>
      <c r="N11" s="39" t="s">
        <v>390</v>
      </c>
      <c r="O11" s="39" t="s">
        <v>391</v>
      </c>
      <c r="P11" s="39" t="s">
        <v>393</v>
      </c>
    </row>
    <row r="12" spans="1:16" ht="50.1" customHeight="1">
      <c r="A12" s="40">
        <v>1</v>
      </c>
      <c r="B12" s="41" t="s">
        <v>470</v>
      </c>
      <c r="C12" s="42" t="s">
        <v>32</v>
      </c>
      <c r="D12" s="43" t="s">
        <v>33</v>
      </c>
      <c r="E12" s="44">
        <v>183</v>
      </c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pans="1:16" ht="50.1" customHeight="1">
      <c r="A13" s="40">
        <v>2</v>
      </c>
      <c r="B13" s="41" t="s">
        <v>31</v>
      </c>
      <c r="C13" s="42" t="s">
        <v>35</v>
      </c>
      <c r="D13" s="43" t="s">
        <v>36</v>
      </c>
      <c r="E13" s="44">
        <v>1</v>
      </c>
      <c r="F13" s="47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ht="50.1" customHeight="1">
      <c r="A14" s="40">
        <v>3</v>
      </c>
      <c r="B14" s="41" t="s">
        <v>34</v>
      </c>
      <c r="C14" s="42" t="s">
        <v>38</v>
      </c>
      <c r="D14" s="43" t="s">
        <v>36</v>
      </c>
      <c r="E14" s="44">
        <v>1</v>
      </c>
      <c r="F14" s="45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ht="50.1" customHeight="1">
      <c r="A15" s="40">
        <v>4</v>
      </c>
      <c r="B15" s="41" t="s">
        <v>37</v>
      </c>
      <c r="C15" s="42" t="s">
        <v>40</v>
      </c>
      <c r="D15" s="43" t="s">
        <v>36</v>
      </c>
      <c r="E15" s="44">
        <v>1</v>
      </c>
      <c r="F15" s="45"/>
      <c r="G15" s="46"/>
      <c r="H15" s="46"/>
      <c r="I15" s="46"/>
      <c r="J15" s="46"/>
      <c r="K15" s="46"/>
      <c r="L15" s="46"/>
      <c r="M15" s="46"/>
      <c r="N15" s="46"/>
      <c r="O15" s="46"/>
      <c r="P15" s="46"/>
    </row>
    <row r="16" spans="1:16" ht="50.1" customHeight="1">
      <c r="A16" s="40">
        <v>5</v>
      </c>
      <c r="B16" s="41" t="s">
        <v>39</v>
      </c>
      <c r="C16" s="42" t="s">
        <v>42</v>
      </c>
      <c r="D16" s="43" t="s">
        <v>36</v>
      </c>
      <c r="E16" s="44">
        <v>1</v>
      </c>
      <c r="F16" s="45"/>
      <c r="G16" s="46"/>
      <c r="H16" s="46"/>
      <c r="I16" s="46"/>
      <c r="J16" s="46"/>
      <c r="K16" s="46"/>
      <c r="L16" s="46"/>
      <c r="M16" s="46"/>
      <c r="N16" s="46"/>
      <c r="O16" s="46"/>
      <c r="P16" s="46"/>
    </row>
    <row r="17" spans="1:16" ht="50.1" customHeight="1">
      <c r="A17" s="40">
        <v>6</v>
      </c>
      <c r="B17" s="41" t="s">
        <v>41</v>
      </c>
      <c r="C17" s="42" t="s">
        <v>44</v>
      </c>
      <c r="D17" s="43" t="s">
        <v>36</v>
      </c>
      <c r="E17" s="44">
        <v>1</v>
      </c>
      <c r="F17" s="45"/>
      <c r="G17" s="46"/>
      <c r="H17" s="46"/>
      <c r="I17" s="46"/>
      <c r="J17" s="46"/>
      <c r="K17" s="46"/>
      <c r="L17" s="46"/>
      <c r="M17" s="46"/>
      <c r="N17" s="46"/>
      <c r="O17" s="46"/>
      <c r="P17" s="46"/>
    </row>
    <row r="18" spans="1:16" ht="66" customHeight="1">
      <c r="A18" s="40">
        <v>7</v>
      </c>
      <c r="B18" s="41" t="s">
        <v>43</v>
      </c>
      <c r="C18" s="42" t="s">
        <v>46</v>
      </c>
      <c r="D18" s="43" t="s">
        <v>36</v>
      </c>
      <c r="E18" s="44">
        <v>2</v>
      </c>
      <c r="F18" s="45"/>
      <c r="G18" s="46"/>
      <c r="H18" s="46"/>
      <c r="I18" s="46"/>
      <c r="J18" s="46"/>
      <c r="K18" s="46"/>
      <c r="L18" s="46"/>
      <c r="M18" s="46"/>
      <c r="N18" s="46"/>
      <c r="O18" s="46"/>
      <c r="P18" s="46"/>
    </row>
    <row r="19" spans="1:16" ht="50.1" customHeight="1">
      <c r="A19" s="40">
        <v>8</v>
      </c>
      <c r="B19" s="41" t="s">
        <v>45</v>
      </c>
      <c r="C19" s="42" t="s">
        <v>48</v>
      </c>
      <c r="D19" s="43" t="s">
        <v>49</v>
      </c>
      <c r="E19" s="44">
        <v>1</v>
      </c>
      <c r="F19" s="45"/>
      <c r="G19" s="46"/>
      <c r="H19" s="46"/>
      <c r="I19" s="46"/>
      <c r="J19" s="46"/>
      <c r="K19" s="46"/>
      <c r="L19" s="46"/>
      <c r="M19" s="46"/>
      <c r="N19" s="46"/>
      <c r="O19" s="46"/>
      <c r="P19" s="46"/>
    </row>
    <row r="20" spans="1:16" ht="50.1" customHeight="1">
      <c r="A20" s="40">
        <v>9</v>
      </c>
      <c r="B20" s="41" t="s">
        <v>471</v>
      </c>
      <c r="C20" s="42" t="s">
        <v>51</v>
      </c>
      <c r="D20" s="43" t="s">
        <v>52</v>
      </c>
      <c r="E20" s="44">
        <v>1</v>
      </c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</row>
    <row r="21" spans="1:16" ht="50.1" customHeight="1">
      <c r="A21" s="40">
        <v>10</v>
      </c>
      <c r="B21" s="41" t="s">
        <v>47</v>
      </c>
      <c r="C21" s="48" t="s">
        <v>467</v>
      </c>
      <c r="D21" s="43" t="s">
        <v>52</v>
      </c>
      <c r="E21" s="44">
        <v>1</v>
      </c>
      <c r="F21" s="49"/>
      <c r="G21" s="46"/>
      <c r="H21" s="46"/>
      <c r="I21" s="46"/>
      <c r="J21" s="46"/>
      <c r="K21" s="46"/>
      <c r="L21" s="46"/>
      <c r="M21" s="46"/>
      <c r="N21" s="46"/>
      <c r="O21" s="46"/>
      <c r="P21" s="46"/>
    </row>
    <row r="22" spans="1:16" ht="50.1" customHeight="1">
      <c r="A22" s="40">
        <v>11</v>
      </c>
      <c r="B22" s="41" t="s">
        <v>50</v>
      </c>
      <c r="C22" s="42" t="s">
        <v>468</v>
      </c>
      <c r="D22" s="43" t="s">
        <v>52</v>
      </c>
      <c r="E22" s="44">
        <v>1</v>
      </c>
      <c r="F22" s="45"/>
      <c r="G22" s="46"/>
      <c r="H22" s="46"/>
      <c r="I22" s="46"/>
      <c r="J22" s="46"/>
      <c r="K22" s="46"/>
      <c r="L22" s="46"/>
      <c r="M22" s="46"/>
      <c r="N22" s="46"/>
      <c r="O22" s="46"/>
      <c r="P22" s="46"/>
    </row>
    <row r="23" spans="1:16" ht="50.1" customHeight="1">
      <c r="A23" s="40">
        <v>12</v>
      </c>
      <c r="B23" s="41" t="s">
        <v>53</v>
      </c>
      <c r="C23" s="42" t="s">
        <v>469</v>
      </c>
      <c r="D23" s="43" t="s">
        <v>52</v>
      </c>
      <c r="E23" s="44">
        <v>1</v>
      </c>
      <c r="F23" s="45"/>
      <c r="G23" s="46"/>
      <c r="H23" s="46"/>
      <c r="I23" s="46"/>
      <c r="J23" s="46"/>
      <c r="K23" s="46"/>
      <c r="L23" s="46"/>
      <c r="M23" s="46"/>
      <c r="N23" s="46"/>
      <c r="O23" s="46"/>
      <c r="P23" s="46"/>
    </row>
    <row r="24" spans="1:16" ht="49.5" customHeight="1">
      <c r="A24" s="50"/>
      <c r="B24" s="51"/>
      <c r="C24" s="52" t="s">
        <v>6</v>
      </c>
      <c r="D24" s="51"/>
      <c r="E24" s="53"/>
      <c r="F24" s="53"/>
      <c r="G24" s="53"/>
      <c r="H24" s="53"/>
      <c r="I24" s="53"/>
      <c r="J24" s="53"/>
      <c r="K24" s="53"/>
      <c r="L24" s="54"/>
      <c r="M24" s="54"/>
      <c r="N24" s="54"/>
      <c r="O24" s="54"/>
      <c r="P24" s="54"/>
    </row>
    <row r="25" spans="1:16" ht="50.1" customHeight="1">
      <c r="A25" s="55"/>
      <c r="B25" s="55"/>
      <c r="C25" s="279" t="s">
        <v>54</v>
      </c>
      <c r="D25" s="279"/>
      <c r="E25" s="279"/>
      <c r="F25" s="279"/>
      <c r="G25" s="279"/>
      <c r="H25" s="279"/>
      <c r="I25" s="279"/>
      <c r="J25" s="279"/>
      <c r="K25" s="279"/>
      <c r="L25" s="56"/>
      <c r="M25" s="56"/>
      <c r="N25" s="58"/>
      <c r="O25" s="57"/>
      <c r="P25" s="58"/>
    </row>
    <row r="26" spans="1:16" ht="50.1" customHeight="1">
      <c r="A26" s="55"/>
      <c r="B26" s="55"/>
      <c r="C26" s="280" t="s">
        <v>55</v>
      </c>
      <c r="D26" s="280"/>
      <c r="E26" s="280"/>
      <c r="F26" s="280"/>
      <c r="G26" s="280"/>
      <c r="H26" s="280"/>
      <c r="I26" s="280"/>
      <c r="J26" s="280"/>
      <c r="K26" s="280"/>
      <c r="L26" s="59"/>
      <c r="M26" s="59"/>
      <c r="N26" s="59"/>
      <c r="O26" s="59"/>
      <c r="P26" s="59"/>
    </row>
    <row r="27" spans="1:16" s="63" customFormat="1" ht="15">
      <c r="A27" s="60"/>
      <c r="B27" s="60"/>
      <c r="C27" s="60"/>
      <c r="D27" s="61"/>
      <c r="E27" s="62"/>
      <c r="F27" s="62"/>
      <c r="G27" s="62"/>
      <c r="J27" s="62"/>
      <c r="K27" s="62"/>
      <c r="L27" s="62"/>
      <c r="M27" s="62"/>
      <c r="N27" s="62"/>
      <c r="O27" s="62"/>
      <c r="P27" s="62"/>
    </row>
    <row r="28" spans="1:16" s="63" customFormat="1" ht="15">
      <c r="A28" s="60"/>
      <c r="B28" s="60"/>
      <c r="C28" s="60"/>
      <c r="D28" s="61"/>
      <c r="E28" s="62"/>
      <c r="F28" s="62"/>
      <c r="G28" s="62"/>
      <c r="J28" s="62"/>
      <c r="K28" s="62"/>
      <c r="L28" s="62"/>
      <c r="M28" s="62"/>
      <c r="N28" s="62"/>
      <c r="O28" s="62"/>
      <c r="P28" s="62"/>
    </row>
    <row r="29" spans="1:16" s="63" customFormat="1" ht="15">
      <c r="A29" s="60"/>
      <c r="B29" s="60"/>
      <c r="C29" s="60"/>
      <c r="D29" s="61"/>
      <c r="E29" s="62"/>
      <c r="F29" s="62"/>
      <c r="G29" s="62"/>
      <c r="J29" s="62"/>
      <c r="K29" s="62"/>
      <c r="L29" s="62"/>
      <c r="M29" s="62"/>
      <c r="N29" s="62"/>
      <c r="O29" s="62"/>
      <c r="P29" s="62"/>
    </row>
    <row r="30" spans="1:16" s="63" customFormat="1" ht="15" customHeight="1">
      <c r="A30" s="267" t="s">
        <v>9</v>
      </c>
      <c r="B30" s="267"/>
      <c r="C30" s="65"/>
      <c r="E30" s="66"/>
      <c r="F30" s="67"/>
      <c r="G30" s="67"/>
      <c r="H30" s="68"/>
      <c r="I30" s="268" t="s">
        <v>56</v>
      </c>
      <c r="J30" s="268"/>
      <c r="K30" s="67"/>
      <c r="L30" s="67"/>
      <c r="M30" s="67"/>
      <c r="N30" s="66"/>
      <c r="O30" s="67"/>
      <c r="P30" s="67"/>
    </row>
    <row r="31" spans="1:16" s="63" customFormat="1" ht="15">
      <c r="A31" s="64"/>
      <c r="B31" s="64"/>
      <c r="C31" s="276" t="s">
        <v>10</v>
      </c>
      <c r="D31" s="276"/>
      <c r="E31" s="276"/>
      <c r="F31" s="276"/>
      <c r="G31" s="71"/>
      <c r="I31" s="34"/>
      <c r="J31" s="34"/>
      <c r="K31" s="277" t="s">
        <v>10</v>
      </c>
      <c r="L31" s="277"/>
      <c r="M31" s="277"/>
      <c r="N31" s="277"/>
      <c r="O31" s="277"/>
      <c r="P31" s="277"/>
    </row>
    <row r="32" spans="1:16" s="63" customFormat="1" ht="15">
      <c r="A32" s="64"/>
      <c r="B32" s="64"/>
      <c r="C32" s="64"/>
      <c r="D32" s="61"/>
      <c r="E32" s="62"/>
      <c r="F32" s="62"/>
      <c r="G32" s="62"/>
      <c r="J32" s="62"/>
      <c r="K32" s="62"/>
      <c r="L32" s="62"/>
      <c r="M32" s="62"/>
      <c r="N32" s="62"/>
      <c r="O32" s="62"/>
      <c r="P32" s="62"/>
    </row>
    <row r="33" spans="1:16" s="63" customFormat="1" ht="16.899999999999999" customHeight="1">
      <c r="D33" s="69"/>
      <c r="E33" s="62"/>
      <c r="F33" s="62"/>
      <c r="G33" s="62"/>
      <c r="I33" s="267" t="s">
        <v>11</v>
      </c>
      <c r="J33" s="267"/>
      <c r="K33" s="65"/>
      <c r="L33" s="62"/>
      <c r="M33" s="62"/>
      <c r="N33" s="62"/>
      <c r="O33" s="62"/>
      <c r="P33" s="62"/>
    </row>
    <row r="34" spans="1:16" s="63" customFormat="1" ht="15">
      <c r="A34" s="60"/>
      <c r="B34" s="60"/>
      <c r="C34" s="60"/>
      <c r="D34" s="61"/>
      <c r="E34" s="62"/>
      <c r="F34" s="62"/>
      <c r="G34" s="62"/>
      <c r="J34" s="62"/>
      <c r="K34" s="62"/>
      <c r="L34" s="62"/>
      <c r="M34" s="62"/>
      <c r="N34" s="62"/>
      <c r="O34" s="62"/>
      <c r="P34" s="62"/>
    </row>
    <row r="35" spans="1:16" s="63" customFormat="1" ht="15">
      <c r="A35" s="60"/>
      <c r="B35" s="60"/>
      <c r="C35" s="60"/>
      <c r="D35" s="61"/>
      <c r="E35" s="62"/>
      <c r="F35" s="62"/>
      <c r="G35" s="62"/>
      <c r="J35" s="62"/>
      <c r="K35" s="62"/>
      <c r="L35" s="62"/>
      <c r="M35" s="62"/>
      <c r="N35" s="62"/>
      <c r="O35" s="62"/>
      <c r="P35" s="62"/>
    </row>
    <row r="36" spans="1:16" s="63" customFormat="1" ht="15">
      <c r="A36" s="60"/>
      <c r="B36" s="60"/>
      <c r="C36" s="60"/>
      <c r="D36" s="61"/>
      <c r="E36" s="62"/>
      <c r="F36" s="62"/>
      <c r="G36" s="62"/>
      <c r="J36" s="62"/>
      <c r="K36" s="62"/>
      <c r="L36" s="62"/>
      <c r="M36" s="62"/>
      <c r="N36" s="62"/>
      <c r="O36" s="62"/>
      <c r="P36" s="62"/>
    </row>
    <row r="37" spans="1:16" s="63" customFormat="1" ht="15">
      <c r="A37" s="60"/>
      <c r="B37" s="60"/>
      <c r="C37" s="60"/>
      <c r="D37" s="61"/>
      <c r="E37" s="62"/>
      <c r="F37" s="62"/>
      <c r="G37" s="62"/>
      <c r="J37" s="62"/>
      <c r="K37" s="62"/>
      <c r="L37" s="62"/>
      <c r="M37" s="62"/>
      <c r="N37" s="62"/>
      <c r="O37" s="62"/>
      <c r="P37" s="62"/>
    </row>
    <row r="38" spans="1:16" s="63" customFormat="1" ht="15">
      <c r="A38" s="60"/>
      <c r="B38" s="60"/>
      <c r="C38" s="60"/>
      <c r="D38" s="61"/>
      <c r="E38" s="62"/>
      <c r="F38" s="62"/>
      <c r="G38" s="62"/>
      <c r="J38" s="62"/>
      <c r="K38" s="62"/>
      <c r="L38" s="62"/>
      <c r="M38" s="62"/>
      <c r="N38" s="62"/>
      <c r="O38" s="62"/>
      <c r="P38" s="62"/>
    </row>
    <row r="39" spans="1:16" s="63" customFormat="1" ht="15">
      <c r="A39" s="60"/>
      <c r="B39" s="60"/>
      <c r="C39" s="60"/>
      <c r="D39" s="61"/>
      <c r="E39" s="62"/>
      <c r="F39" s="62"/>
      <c r="G39" s="62"/>
      <c r="J39" s="62"/>
      <c r="K39" s="62"/>
      <c r="L39" s="62"/>
      <c r="M39" s="62"/>
      <c r="N39" s="62"/>
      <c r="O39" s="62"/>
      <c r="P39" s="62"/>
    </row>
    <row r="40" spans="1:16" s="63" customFormat="1" ht="15">
      <c r="A40" s="60"/>
      <c r="B40" s="60"/>
      <c r="C40" s="60"/>
      <c r="D40" s="61"/>
      <c r="E40" s="62"/>
      <c r="F40" s="62"/>
      <c r="G40" s="62"/>
      <c r="J40" s="62"/>
      <c r="K40" s="62"/>
      <c r="L40" s="62"/>
      <c r="M40" s="62"/>
      <c r="N40" s="62"/>
      <c r="O40" s="62"/>
      <c r="P40" s="62"/>
    </row>
    <row r="41" spans="1:16" s="63" customFormat="1" ht="15">
      <c r="A41" s="60"/>
      <c r="B41" s="60"/>
      <c r="C41" s="60"/>
      <c r="D41" s="61"/>
      <c r="E41" s="62"/>
      <c r="F41" s="62"/>
      <c r="G41" s="62"/>
      <c r="J41" s="62"/>
      <c r="K41" s="62"/>
      <c r="L41" s="62"/>
      <c r="M41" s="62"/>
      <c r="N41" s="62"/>
      <c r="O41" s="62"/>
      <c r="P41" s="62"/>
    </row>
    <row r="42" spans="1:16" s="63" customFormat="1" ht="15">
      <c r="A42" s="60"/>
      <c r="B42" s="60"/>
      <c r="C42" s="60"/>
      <c r="D42" s="61"/>
      <c r="E42" s="62"/>
      <c r="F42" s="62"/>
      <c r="G42" s="62"/>
      <c r="J42" s="62"/>
      <c r="K42" s="62"/>
      <c r="L42" s="62"/>
      <c r="M42" s="62"/>
      <c r="N42" s="62"/>
      <c r="O42" s="62"/>
      <c r="P42" s="62"/>
    </row>
    <row r="43" spans="1:16" s="63" customFormat="1" ht="15">
      <c r="A43" s="60"/>
      <c r="B43" s="60"/>
      <c r="C43" s="60"/>
      <c r="D43" s="61"/>
      <c r="E43" s="62"/>
      <c r="F43" s="62"/>
      <c r="G43" s="62"/>
      <c r="J43" s="62"/>
      <c r="K43" s="62"/>
      <c r="L43" s="62"/>
      <c r="M43" s="62"/>
      <c r="N43" s="62"/>
      <c r="O43" s="62"/>
      <c r="P43" s="62"/>
    </row>
    <row r="44" spans="1:16" s="63" customFormat="1" ht="15">
      <c r="A44" s="60"/>
      <c r="B44" s="60"/>
      <c r="C44" s="60"/>
      <c r="D44" s="61"/>
      <c r="E44" s="62"/>
      <c r="F44" s="62"/>
      <c r="G44" s="62"/>
      <c r="J44" s="62"/>
      <c r="K44" s="62"/>
      <c r="L44" s="62"/>
      <c r="M44" s="62"/>
      <c r="N44" s="62"/>
      <c r="O44" s="62"/>
      <c r="P44" s="62"/>
    </row>
    <row r="45" spans="1:16" s="63" customFormat="1" ht="15">
      <c r="A45" s="60"/>
      <c r="B45" s="60"/>
      <c r="C45" s="60"/>
      <c r="D45" s="61"/>
      <c r="E45" s="62"/>
      <c r="F45" s="62"/>
      <c r="G45" s="62"/>
      <c r="J45" s="62"/>
      <c r="K45" s="62"/>
      <c r="L45" s="62"/>
      <c r="M45" s="62"/>
      <c r="N45" s="62"/>
      <c r="O45" s="62"/>
      <c r="P45" s="62"/>
    </row>
    <row r="46" spans="1:16" s="63" customFormat="1" ht="15">
      <c r="A46" s="60"/>
      <c r="B46" s="60"/>
      <c r="C46" s="60"/>
      <c r="D46" s="61"/>
      <c r="E46" s="62"/>
      <c r="F46" s="62"/>
      <c r="G46" s="62"/>
      <c r="J46" s="62"/>
      <c r="K46" s="62"/>
      <c r="L46" s="62"/>
      <c r="M46" s="62"/>
      <c r="N46" s="62"/>
      <c r="O46" s="62"/>
      <c r="P46" s="62"/>
    </row>
    <row r="47" spans="1:16" s="63" customFormat="1" ht="15">
      <c r="A47" s="60"/>
      <c r="B47" s="60"/>
      <c r="C47" s="60"/>
      <c r="D47" s="61"/>
      <c r="E47" s="62"/>
      <c r="F47" s="62"/>
      <c r="G47" s="62"/>
      <c r="J47" s="62"/>
      <c r="K47" s="62"/>
      <c r="L47" s="62"/>
      <c r="M47" s="62"/>
      <c r="N47" s="62"/>
      <c r="O47" s="62"/>
      <c r="P47" s="62"/>
    </row>
    <row r="48" spans="1:16" s="63" customFormat="1" ht="15">
      <c r="A48" s="60"/>
      <c r="B48" s="60"/>
      <c r="C48" s="60"/>
      <c r="D48" s="61"/>
      <c r="E48" s="62"/>
      <c r="F48" s="62"/>
      <c r="G48" s="62"/>
      <c r="J48" s="62"/>
      <c r="K48" s="62"/>
      <c r="L48" s="62"/>
      <c r="M48" s="62"/>
      <c r="N48" s="62"/>
      <c r="O48" s="62"/>
      <c r="P48" s="62"/>
    </row>
    <row r="49" spans="1:16" s="63" customFormat="1" ht="15">
      <c r="A49" s="60"/>
      <c r="B49" s="60"/>
      <c r="C49" s="60"/>
      <c r="D49" s="61"/>
      <c r="E49" s="62"/>
      <c r="F49" s="62"/>
      <c r="G49" s="62"/>
      <c r="J49" s="62"/>
      <c r="K49" s="62"/>
      <c r="L49" s="62"/>
      <c r="M49" s="62"/>
      <c r="N49" s="62"/>
      <c r="O49" s="62"/>
      <c r="P49" s="62"/>
    </row>
    <row r="50" spans="1:16" s="63" customFormat="1" ht="15">
      <c r="A50" s="60"/>
      <c r="B50" s="60"/>
      <c r="C50" s="60"/>
      <c r="D50" s="61"/>
      <c r="E50" s="62"/>
      <c r="F50" s="62"/>
      <c r="G50" s="62"/>
      <c r="J50" s="62"/>
      <c r="K50" s="62"/>
      <c r="L50" s="62"/>
      <c r="M50" s="62"/>
      <c r="N50" s="62"/>
      <c r="O50" s="62"/>
      <c r="P50" s="62"/>
    </row>
    <row r="51" spans="1:16" s="63" customFormat="1" ht="15">
      <c r="A51" s="60"/>
      <c r="B51" s="60"/>
      <c r="C51" s="60"/>
      <c r="D51" s="61"/>
      <c r="E51" s="62"/>
      <c r="F51" s="62"/>
      <c r="G51" s="62"/>
      <c r="J51" s="62"/>
      <c r="K51" s="62"/>
      <c r="L51" s="62"/>
      <c r="M51" s="62"/>
      <c r="N51" s="62"/>
      <c r="O51" s="62"/>
      <c r="P51" s="62"/>
    </row>
    <row r="52" spans="1:16" s="63" customFormat="1" ht="15">
      <c r="A52" s="60"/>
      <c r="B52" s="60"/>
      <c r="C52" s="60"/>
      <c r="D52" s="61"/>
      <c r="E52" s="62"/>
      <c r="F52" s="62"/>
      <c r="G52" s="62"/>
      <c r="J52" s="62"/>
      <c r="K52" s="62"/>
      <c r="L52" s="62"/>
      <c r="M52" s="62"/>
      <c r="N52" s="62"/>
      <c r="O52" s="62"/>
      <c r="P52" s="62"/>
    </row>
    <row r="53" spans="1:16">
      <c r="A53" s="70"/>
      <c r="B53" s="70"/>
      <c r="C53" s="70"/>
      <c r="D53" s="71"/>
      <c r="E53" s="72"/>
      <c r="F53" s="72"/>
      <c r="G53" s="72"/>
      <c r="H53" s="29"/>
      <c r="I53" s="29"/>
      <c r="J53" s="72"/>
      <c r="K53" s="72"/>
      <c r="L53" s="72"/>
      <c r="M53" s="72"/>
      <c r="N53" s="72"/>
      <c r="O53" s="72"/>
      <c r="P53" s="72"/>
    </row>
    <row r="54" spans="1:16">
      <c r="A54" s="70"/>
      <c r="B54" s="70"/>
      <c r="C54" s="70"/>
      <c r="D54" s="71"/>
      <c r="E54" s="72"/>
      <c r="F54" s="72"/>
      <c r="G54" s="72"/>
      <c r="H54" s="29"/>
      <c r="I54" s="29"/>
      <c r="J54" s="72"/>
      <c r="K54" s="72"/>
      <c r="L54" s="72"/>
      <c r="M54" s="72"/>
      <c r="N54" s="72"/>
      <c r="O54" s="72"/>
      <c r="P54" s="72"/>
    </row>
    <row r="55" spans="1:16">
      <c r="A55" s="70"/>
      <c r="B55" s="70"/>
      <c r="C55" s="70"/>
      <c r="D55" s="71"/>
      <c r="E55" s="72"/>
      <c r="F55" s="72"/>
      <c r="G55" s="72"/>
      <c r="H55" s="29"/>
      <c r="I55" s="29"/>
      <c r="J55" s="72"/>
      <c r="K55" s="72"/>
      <c r="L55" s="72"/>
      <c r="M55" s="72"/>
      <c r="N55" s="72"/>
      <c r="O55" s="72"/>
      <c r="P55" s="72"/>
    </row>
    <row r="56" spans="1:16">
      <c r="A56" s="70"/>
      <c r="B56" s="70"/>
      <c r="C56" s="70"/>
      <c r="D56" s="71"/>
      <c r="E56" s="72"/>
      <c r="F56" s="72"/>
      <c r="G56" s="72"/>
      <c r="H56" s="29"/>
      <c r="I56" s="29"/>
      <c r="J56" s="72"/>
      <c r="K56" s="72"/>
      <c r="L56" s="72"/>
      <c r="M56" s="72"/>
      <c r="N56" s="72"/>
      <c r="O56" s="72"/>
      <c r="P56" s="72"/>
    </row>
    <row r="57" spans="1:16">
      <c r="A57" s="70"/>
      <c r="B57" s="70"/>
      <c r="C57" s="70"/>
      <c r="D57" s="71"/>
      <c r="E57" s="72"/>
      <c r="F57" s="72"/>
      <c r="G57" s="72"/>
      <c r="H57" s="29"/>
      <c r="I57" s="29"/>
      <c r="J57" s="72"/>
      <c r="K57" s="72"/>
      <c r="L57" s="72"/>
      <c r="M57" s="72"/>
      <c r="N57" s="72"/>
      <c r="O57" s="72"/>
      <c r="P57" s="72"/>
    </row>
    <row r="58" spans="1:16">
      <c r="A58" s="70"/>
      <c r="B58" s="70"/>
      <c r="C58" s="70"/>
      <c r="D58" s="71"/>
      <c r="E58" s="72"/>
      <c r="F58" s="72"/>
      <c r="G58" s="72"/>
      <c r="H58" s="29"/>
      <c r="I58" s="29"/>
      <c r="J58" s="72"/>
      <c r="K58" s="72"/>
      <c r="L58" s="72"/>
      <c r="M58" s="72"/>
      <c r="N58" s="72"/>
      <c r="O58" s="72"/>
      <c r="P58" s="72"/>
    </row>
    <row r="59" spans="1:16">
      <c r="A59" s="70"/>
      <c r="B59" s="70"/>
      <c r="C59" s="70"/>
      <c r="D59" s="71"/>
      <c r="E59" s="72"/>
      <c r="F59" s="72"/>
      <c r="G59" s="72"/>
      <c r="H59" s="29"/>
      <c r="I59" s="29"/>
      <c r="J59" s="72"/>
      <c r="K59" s="72"/>
      <c r="L59" s="72"/>
      <c r="M59" s="72"/>
      <c r="N59" s="72"/>
      <c r="O59" s="72"/>
      <c r="P59" s="72"/>
    </row>
    <row r="60" spans="1:16">
      <c r="A60" s="70"/>
      <c r="B60" s="70"/>
      <c r="C60" s="70"/>
      <c r="D60" s="71"/>
      <c r="E60" s="72"/>
      <c r="F60" s="72"/>
      <c r="G60" s="72"/>
      <c r="H60" s="29"/>
      <c r="I60" s="29"/>
      <c r="J60" s="72"/>
      <c r="K60" s="72"/>
      <c r="L60" s="72"/>
      <c r="M60" s="72"/>
      <c r="N60" s="72"/>
      <c r="O60" s="72"/>
      <c r="P60" s="72"/>
    </row>
    <row r="61" spans="1:16">
      <c r="A61" s="70"/>
      <c r="B61" s="70"/>
      <c r="C61" s="70"/>
      <c r="D61" s="71"/>
      <c r="E61" s="72"/>
      <c r="F61" s="72"/>
      <c r="G61" s="72"/>
      <c r="H61" s="29"/>
      <c r="I61" s="29"/>
      <c r="J61" s="72"/>
      <c r="K61" s="72"/>
      <c r="L61" s="72"/>
      <c r="M61" s="72"/>
      <c r="N61" s="72"/>
      <c r="O61" s="72"/>
      <c r="P61" s="72"/>
    </row>
    <row r="62" spans="1:16">
      <c r="A62" s="70"/>
      <c r="B62" s="70"/>
      <c r="C62" s="70"/>
      <c r="D62" s="71"/>
      <c r="E62" s="72"/>
      <c r="F62" s="72"/>
      <c r="G62" s="72"/>
      <c r="H62" s="29"/>
      <c r="I62" s="29"/>
      <c r="J62" s="72"/>
      <c r="K62" s="72"/>
      <c r="L62" s="72"/>
      <c r="M62" s="72"/>
      <c r="N62" s="72"/>
      <c r="O62" s="72"/>
      <c r="P62" s="72"/>
    </row>
    <row r="63" spans="1:16">
      <c r="A63" s="70"/>
      <c r="B63" s="70"/>
      <c r="C63" s="70"/>
      <c r="D63" s="71"/>
      <c r="E63" s="72"/>
      <c r="F63" s="72"/>
      <c r="G63" s="72"/>
      <c r="H63" s="29"/>
      <c r="I63" s="29"/>
      <c r="J63" s="72"/>
      <c r="K63" s="72"/>
      <c r="L63" s="72"/>
      <c r="M63" s="72"/>
      <c r="N63" s="72"/>
      <c r="O63" s="72"/>
      <c r="P63" s="72"/>
    </row>
    <row r="64" spans="1:16">
      <c r="A64" s="70"/>
      <c r="B64" s="70"/>
      <c r="C64" s="70"/>
      <c r="D64" s="71"/>
      <c r="E64" s="72"/>
      <c r="F64" s="72"/>
      <c r="G64" s="72"/>
      <c r="H64" s="29"/>
      <c r="I64" s="29"/>
      <c r="J64" s="72"/>
      <c r="K64" s="72"/>
      <c r="L64" s="72"/>
      <c r="M64" s="72"/>
      <c r="N64" s="72"/>
      <c r="O64" s="72"/>
      <c r="P64" s="72"/>
    </row>
    <row r="65" spans="1:16">
      <c r="A65" s="70"/>
      <c r="B65" s="70"/>
      <c r="C65" s="70"/>
      <c r="D65" s="71"/>
      <c r="E65" s="72"/>
      <c r="F65" s="72"/>
      <c r="G65" s="72"/>
      <c r="H65" s="29"/>
      <c r="I65" s="29"/>
      <c r="J65" s="72"/>
      <c r="K65" s="72"/>
      <c r="L65" s="72"/>
      <c r="M65" s="72"/>
      <c r="N65" s="72"/>
      <c r="O65" s="72"/>
      <c r="P65" s="72"/>
    </row>
    <row r="66" spans="1:16">
      <c r="A66" s="70"/>
      <c r="B66" s="70"/>
      <c r="C66" s="70"/>
      <c r="D66" s="71"/>
      <c r="E66" s="72"/>
      <c r="F66" s="72"/>
      <c r="G66" s="72"/>
      <c r="H66" s="29"/>
      <c r="I66" s="29"/>
      <c r="J66" s="72"/>
      <c r="K66" s="72"/>
      <c r="L66" s="72"/>
      <c r="M66" s="72"/>
      <c r="N66" s="72"/>
      <c r="O66" s="72"/>
      <c r="P66" s="72"/>
    </row>
    <row r="67" spans="1:16">
      <c r="A67" s="70"/>
      <c r="B67" s="70"/>
      <c r="C67" s="70"/>
      <c r="D67" s="71"/>
      <c r="E67" s="72"/>
      <c r="F67" s="72"/>
      <c r="G67" s="72"/>
      <c r="H67" s="29"/>
      <c r="I67" s="29"/>
      <c r="J67" s="72"/>
      <c r="K67" s="72"/>
      <c r="L67" s="72"/>
      <c r="M67" s="72"/>
      <c r="N67" s="72"/>
      <c r="O67" s="72"/>
      <c r="P67" s="72"/>
    </row>
    <row r="68" spans="1:16">
      <c r="A68" s="70"/>
      <c r="B68" s="70"/>
      <c r="C68" s="70"/>
      <c r="D68" s="71"/>
      <c r="E68" s="72"/>
      <c r="F68" s="72"/>
      <c r="G68" s="72"/>
      <c r="H68" s="29"/>
      <c r="I68" s="29"/>
      <c r="J68" s="72"/>
      <c r="K68" s="72"/>
      <c r="L68" s="72"/>
      <c r="M68" s="72"/>
      <c r="N68" s="72"/>
      <c r="O68" s="72"/>
      <c r="P68" s="72"/>
    </row>
    <row r="69" spans="1:16">
      <c r="A69" s="70"/>
      <c r="B69" s="70"/>
      <c r="C69" s="70"/>
      <c r="D69" s="71"/>
      <c r="E69" s="72"/>
      <c r="F69" s="72"/>
      <c r="G69" s="72"/>
      <c r="H69" s="29"/>
      <c r="I69" s="29"/>
      <c r="J69" s="72"/>
      <c r="K69" s="72"/>
      <c r="L69" s="72"/>
      <c r="M69" s="72"/>
      <c r="N69" s="72"/>
      <c r="O69" s="72"/>
      <c r="P69" s="72"/>
    </row>
    <row r="70" spans="1:16">
      <c r="A70" s="70"/>
      <c r="B70" s="70"/>
      <c r="C70" s="70"/>
      <c r="D70" s="71"/>
      <c r="E70" s="72"/>
      <c r="F70" s="72"/>
      <c r="G70" s="72"/>
      <c r="H70" s="29"/>
      <c r="I70" s="29"/>
      <c r="J70" s="72"/>
      <c r="K70" s="72"/>
      <c r="L70" s="72"/>
      <c r="M70" s="72"/>
      <c r="N70" s="72"/>
      <c r="O70" s="72"/>
      <c r="P70" s="72"/>
    </row>
    <row r="71" spans="1:16">
      <c r="A71" s="70"/>
      <c r="B71" s="70"/>
      <c r="C71" s="70"/>
      <c r="D71" s="71"/>
      <c r="E71" s="72"/>
      <c r="F71" s="72"/>
      <c r="G71" s="72"/>
      <c r="H71" s="29"/>
      <c r="I71" s="29"/>
      <c r="J71" s="72"/>
      <c r="K71" s="72"/>
      <c r="L71" s="72"/>
      <c r="M71" s="72"/>
      <c r="N71" s="72"/>
      <c r="O71" s="72"/>
      <c r="P71" s="72"/>
    </row>
    <row r="72" spans="1:16">
      <c r="A72" s="70"/>
      <c r="B72" s="70"/>
      <c r="C72" s="70"/>
      <c r="D72" s="71"/>
      <c r="E72" s="72"/>
      <c r="F72" s="72"/>
      <c r="G72" s="72"/>
      <c r="H72" s="29"/>
      <c r="I72" s="29"/>
      <c r="J72" s="72"/>
      <c r="K72" s="72"/>
      <c r="L72" s="72"/>
      <c r="M72" s="72"/>
      <c r="N72" s="72"/>
      <c r="O72" s="72"/>
      <c r="P72" s="72"/>
    </row>
    <row r="73" spans="1:16">
      <c r="A73" s="70"/>
      <c r="B73" s="70"/>
      <c r="C73" s="70"/>
      <c r="D73" s="71"/>
      <c r="E73" s="72"/>
      <c r="F73" s="72"/>
      <c r="G73" s="72"/>
      <c r="H73" s="29"/>
      <c r="I73" s="29"/>
      <c r="J73" s="72"/>
      <c r="K73" s="72"/>
      <c r="L73" s="72"/>
      <c r="M73" s="72"/>
      <c r="N73" s="72"/>
      <c r="O73" s="72"/>
      <c r="P73" s="72"/>
    </row>
    <row r="74" spans="1:16">
      <c r="A74" s="70"/>
      <c r="B74" s="70"/>
      <c r="C74" s="70"/>
      <c r="D74" s="71"/>
      <c r="E74" s="72"/>
      <c r="F74" s="72"/>
      <c r="G74" s="72"/>
      <c r="H74" s="29"/>
      <c r="I74" s="29"/>
      <c r="J74" s="72"/>
      <c r="K74" s="72"/>
      <c r="L74" s="72"/>
      <c r="M74" s="72"/>
      <c r="N74" s="72"/>
      <c r="O74" s="72"/>
      <c r="P74" s="72"/>
    </row>
    <row r="75" spans="1:16">
      <c r="A75" s="70"/>
      <c r="B75" s="70"/>
      <c r="C75" s="70"/>
      <c r="D75" s="71"/>
      <c r="E75" s="72"/>
      <c r="F75" s="72"/>
      <c r="G75" s="72"/>
      <c r="H75" s="29"/>
      <c r="I75" s="29"/>
      <c r="J75" s="72"/>
      <c r="K75" s="72"/>
      <c r="L75" s="72"/>
      <c r="M75" s="72"/>
      <c r="N75" s="72"/>
      <c r="O75" s="72"/>
      <c r="P75" s="72"/>
    </row>
    <row r="76" spans="1:16">
      <c r="A76" s="70"/>
      <c r="B76" s="70"/>
      <c r="C76" s="70"/>
      <c r="D76" s="71"/>
      <c r="E76" s="72"/>
      <c r="F76" s="72"/>
      <c r="G76" s="72"/>
      <c r="H76" s="29"/>
      <c r="I76" s="29"/>
      <c r="J76" s="72"/>
      <c r="K76" s="72"/>
      <c r="L76" s="72"/>
      <c r="M76" s="72"/>
      <c r="N76" s="72"/>
      <c r="O76" s="72"/>
      <c r="P76" s="72"/>
    </row>
    <row r="77" spans="1:16">
      <c r="A77" s="70"/>
      <c r="B77" s="70"/>
      <c r="C77" s="70"/>
      <c r="D77" s="71"/>
      <c r="E77" s="72"/>
      <c r="F77" s="72"/>
      <c r="G77" s="72"/>
      <c r="H77" s="29"/>
      <c r="I77" s="29"/>
      <c r="J77" s="72"/>
      <c r="K77" s="72"/>
      <c r="L77" s="72"/>
      <c r="M77" s="72"/>
      <c r="N77" s="72"/>
      <c r="O77" s="72"/>
      <c r="P77" s="72"/>
    </row>
    <row r="78" spans="1:16">
      <c r="A78" s="70"/>
      <c r="B78" s="70"/>
      <c r="C78" s="70"/>
      <c r="D78" s="71"/>
      <c r="E78" s="72"/>
      <c r="F78" s="72"/>
      <c r="G78" s="72"/>
      <c r="H78" s="29"/>
      <c r="I78" s="29"/>
      <c r="J78" s="72"/>
      <c r="K78" s="72"/>
      <c r="L78" s="72"/>
      <c r="M78" s="72"/>
      <c r="N78" s="72"/>
      <c r="O78" s="72"/>
      <c r="P78" s="72"/>
    </row>
    <row r="79" spans="1:16">
      <c r="A79" s="70"/>
      <c r="B79" s="70"/>
      <c r="C79" s="70"/>
      <c r="D79" s="71"/>
      <c r="E79" s="72"/>
      <c r="F79" s="72"/>
      <c r="G79" s="72"/>
      <c r="H79" s="29"/>
      <c r="I79" s="29"/>
      <c r="J79" s="72"/>
      <c r="K79" s="72"/>
      <c r="L79" s="72"/>
      <c r="M79" s="72"/>
      <c r="N79" s="72"/>
      <c r="O79" s="72"/>
      <c r="P79" s="72"/>
    </row>
    <row r="80" spans="1:16">
      <c r="A80" s="70"/>
      <c r="B80" s="70"/>
      <c r="C80" s="70"/>
      <c r="D80" s="71"/>
      <c r="E80" s="72"/>
      <c r="F80" s="72"/>
      <c r="G80" s="72"/>
      <c r="H80" s="29"/>
      <c r="I80" s="29"/>
      <c r="J80" s="72"/>
      <c r="K80" s="72"/>
      <c r="L80" s="72"/>
      <c r="M80" s="72"/>
      <c r="N80" s="72"/>
      <c r="O80" s="72"/>
      <c r="P80" s="72"/>
    </row>
    <row r="81" spans="1:16">
      <c r="A81" s="70"/>
      <c r="B81" s="70"/>
      <c r="C81" s="70"/>
      <c r="D81" s="71"/>
      <c r="E81" s="72"/>
      <c r="F81" s="72"/>
      <c r="G81" s="72"/>
      <c r="H81" s="29"/>
      <c r="I81" s="29"/>
      <c r="J81" s="72"/>
      <c r="K81" s="72"/>
      <c r="L81" s="72"/>
      <c r="M81" s="72"/>
      <c r="N81" s="72"/>
      <c r="O81" s="72"/>
      <c r="P81" s="72"/>
    </row>
    <row r="82" spans="1:16">
      <c r="A82" s="70"/>
      <c r="B82" s="70"/>
      <c r="C82" s="70"/>
      <c r="D82" s="71"/>
      <c r="E82" s="72"/>
      <c r="F82" s="72"/>
      <c r="G82" s="72"/>
      <c r="H82" s="29"/>
      <c r="I82" s="29"/>
      <c r="J82" s="72"/>
      <c r="K82" s="72"/>
      <c r="L82" s="72"/>
      <c r="M82" s="72"/>
      <c r="N82" s="72"/>
      <c r="O82" s="72"/>
      <c r="P82" s="72"/>
    </row>
    <row r="83" spans="1:16">
      <c r="A83" s="70"/>
      <c r="B83" s="70"/>
      <c r="C83" s="70"/>
      <c r="D83" s="71"/>
      <c r="E83" s="72"/>
      <c r="F83" s="72"/>
      <c r="G83" s="72"/>
      <c r="H83" s="29"/>
      <c r="I83" s="29"/>
      <c r="J83" s="72"/>
      <c r="K83" s="72"/>
      <c r="L83" s="72"/>
      <c r="M83" s="72"/>
      <c r="N83" s="72"/>
      <c r="O83" s="72"/>
      <c r="P83" s="72"/>
    </row>
    <row r="84" spans="1:16">
      <c r="A84" s="70"/>
      <c r="B84" s="70"/>
      <c r="C84" s="70"/>
      <c r="D84" s="71"/>
      <c r="E84" s="72"/>
      <c r="F84" s="72"/>
      <c r="G84" s="72"/>
      <c r="H84" s="29"/>
      <c r="I84" s="29"/>
      <c r="J84" s="72"/>
      <c r="K84" s="72"/>
      <c r="L84" s="72"/>
      <c r="M84" s="72"/>
      <c r="N84" s="72"/>
      <c r="O84" s="72"/>
      <c r="P84" s="72"/>
    </row>
    <row r="85" spans="1:16">
      <c r="A85" s="70"/>
      <c r="B85" s="70"/>
      <c r="C85" s="70"/>
      <c r="D85" s="71"/>
      <c r="E85" s="72"/>
      <c r="F85" s="72"/>
      <c r="G85" s="72"/>
      <c r="H85" s="29"/>
      <c r="I85" s="29"/>
      <c r="J85" s="72"/>
      <c r="K85" s="72"/>
      <c r="L85" s="72"/>
      <c r="M85" s="72"/>
      <c r="N85" s="72"/>
      <c r="O85" s="72"/>
      <c r="P85" s="72"/>
    </row>
    <row r="86" spans="1:16">
      <c r="A86" s="70"/>
      <c r="B86" s="70"/>
      <c r="C86" s="70"/>
      <c r="D86" s="71"/>
      <c r="E86" s="72"/>
      <c r="F86" s="72"/>
      <c r="G86" s="72"/>
      <c r="H86" s="29"/>
      <c r="I86" s="29"/>
      <c r="J86" s="72"/>
      <c r="K86" s="72"/>
      <c r="L86" s="72"/>
      <c r="M86" s="72"/>
      <c r="N86" s="72"/>
      <c r="O86" s="72"/>
      <c r="P86" s="72"/>
    </row>
    <row r="87" spans="1:16">
      <c r="A87" s="70"/>
      <c r="B87" s="70"/>
      <c r="C87" s="70"/>
      <c r="D87" s="71"/>
      <c r="E87" s="72"/>
      <c r="F87" s="72"/>
      <c r="G87" s="72"/>
      <c r="H87" s="29"/>
      <c r="I87" s="29"/>
      <c r="J87" s="72"/>
      <c r="K87" s="72"/>
      <c r="L87" s="72"/>
      <c r="M87" s="72"/>
      <c r="N87" s="72"/>
      <c r="O87" s="72"/>
      <c r="P87" s="72"/>
    </row>
    <row r="88" spans="1:16">
      <c r="A88" s="70"/>
      <c r="B88" s="70"/>
      <c r="C88" s="70"/>
      <c r="D88" s="71"/>
      <c r="E88" s="72"/>
      <c r="F88" s="72"/>
      <c r="G88" s="72"/>
      <c r="H88" s="29"/>
      <c r="I88" s="29"/>
      <c r="J88" s="72"/>
      <c r="K88" s="72"/>
      <c r="L88" s="72"/>
      <c r="M88" s="72"/>
      <c r="N88" s="72"/>
      <c r="O88" s="72"/>
      <c r="P88" s="72"/>
    </row>
    <row r="89" spans="1:16">
      <c r="A89" s="70"/>
      <c r="B89" s="70"/>
      <c r="C89" s="70"/>
      <c r="D89" s="71"/>
      <c r="E89" s="72"/>
      <c r="F89" s="72"/>
      <c r="G89" s="72"/>
      <c r="H89" s="29"/>
      <c r="I89" s="29"/>
      <c r="J89" s="72"/>
      <c r="K89" s="72"/>
      <c r="L89" s="72"/>
      <c r="M89" s="72"/>
      <c r="N89" s="72"/>
      <c r="O89" s="72"/>
      <c r="P89" s="72"/>
    </row>
    <row r="90" spans="1:16">
      <c r="A90" s="70"/>
      <c r="B90" s="70"/>
      <c r="C90" s="70"/>
      <c r="D90" s="71"/>
      <c r="E90" s="72"/>
      <c r="F90" s="72"/>
      <c r="G90" s="72"/>
      <c r="H90" s="29"/>
      <c r="I90" s="29"/>
      <c r="J90" s="72"/>
      <c r="K90" s="72"/>
      <c r="L90" s="72"/>
      <c r="M90" s="72"/>
      <c r="N90" s="72"/>
      <c r="O90" s="72"/>
      <c r="P90" s="72"/>
    </row>
    <row r="91" spans="1:16">
      <c r="A91" s="70"/>
      <c r="B91" s="70"/>
      <c r="C91" s="70"/>
      <c r="D91" s="71"/>
      <c r="E91" s="72"/>
      <c r="F91" s="72"/>
      <c r="G91" s="72"/>
      <c r="H91" s="29"/>
      <c r="I91" s="29"/>
      <c r="J91" s="72"/>
      <c r="K91" s="72"/>
      <c r="L91" s="72"/>
      <c r="M91" s="72"/>
      <c r="N91" s="72"/>
      <c r="O91" s="72"/>
      <c r="P91" s="72"/>
    </row>
    <row r="92" spans="1:16">
      <c r="A92" s="70"/>
      <c r="B92" s="70"/>
      <c r="C92" s="70"/>
      <c r="D92" s="71"/>
      <c r="E92" s="72"/>
      <c r="F92" s="72"/>
      <c r="G92" s="72"/>
      <c r="H92" s="29"/>
      <c r="I92" s="29"/>
      <c r="J92" s="72"/>
      <c r="K92" s="72"/>
      <c r="L92" s="72"/>
      <c r="M92" s="72"/>
      <c r="N92" s="72"/>
      <c r="O92" s="72"/>
      <c r="P92" s="72"/>
    </row>
    <row r="93" spans="1:16">
      <c r="A93" s="70"/>
      <c r="B93" s="70"/>
      <c r="C93" s="70"/>
      <c r="D93" s="71"/>
      <c r="E93" s="72"/>
      <c r="F93" s="72"/>
      <c r="G93" s="72"/>
      <c r="H93" s="29"/>
      <c r="I93" s="29"/>
      <c r="J93" s="72"/>
      <c r="K93" s="72"/>
      <c r="L93" s="72"/>
      <c r="M93" s="72"/>
      <c r="N93" s="72"/>
      <c r="O93" s="72"/>
      <c r="P93" s="72"/>
    </row>
    <row r="94" spans="1:16">
      <c r="A94" s="70"/>
      <c r="B94" s="70"/>
      <c r="C94" s="70"/>
      <c r="D94" s="71"/>
      <c r="E94" s="72"/>
      <c r="F94" s="72"/>
      <c r="G94" s="72"/>
      <c r="H94" s="29"/>
      <c r="I94" s="29"/>
      <c r="J94" s="72"/>
      <c r="K94" s="72"/>
      <c r="L94" s="72"/>
      <c r="M94" s="72"/>
      <c r="N94" s="72"/>
      <c r="O94" s="72"/>
      <c r="P94" s="72"/>
    </row>
    <row r="95" spans="1:16">
      <c r="A95" s="70"/>
      <c r="B95" s="70"/>
      <c r="C95" s="70"/>
      <c r="D95" s="71"/>
      <c r="E95" s="72"/>
      <c r="F95" s="72"/>
      <c r="G95" s="72"/>
      <c r="H95" s="29"/>
      <c r="I95" s="29"/>
      <c r="J95" s="72"/>
      <c r="K95" s="72"/>
      <c r="L95" s="72"/>
      <c r="M95" s="72"/>
      <c r="N95" s="72"/>
      <c r="O95" s="72"/>
      <c r="P95" s="72"/>
    </row>
    <row r="96" spans="1:16">
      <c r="A96" s="70"/>
      <c r="B96" s="70"/>
      <c r="C96" s="70"/>
      <c r="D96" s="71"/>
      <c r="E96" s="72"/>
      <c r="F96" s="72"/>
      <c r="G96" s="72"/>
      <c r="H96" s="29"/>
      <c r="I96" s="29"/>
      <c r="J96" s="72"/>
      <c r="K96" s="72"/>
      <c r="L96" s="72"/>
      <c r="M96" s="72"/>
      <c r="N96" s="72"/>
      <c r="O96" s="72"/>
      <c r="P96" s="72"/>
    </row>
    <row r="97" spans="1:16">
      <c r="A97" s="70"/>
      <c r="B97" s="70"/>
      <c r="C97" s="70"/>
      <c r="D97" s="71"/>
      <c r="E97" s="72"/>
      <c r="F97" s="72"/>
      <c r="G97" s="72"/>
      <c r="H97" s="29"/>
      <c r="I97" s="29"/>
      <c r="J97" s="72"/>
      <c r="K97" s="72"/>
      <c r="L97" s="72"/>
      <c r="M97" s="72"/>
      <c r="N97" s="72"/>
      <c r="O97" s="72"/>
      <c r="P97" s="72"/>
    </row>
    <row r="98" spans="1:16">
      <c r="A98" s="70"/>
      <c r="B98" s="70"/>
      <c r="C98" s="70"/>
      <c r="D98" s="71"/>
      <c r="E98" s="72"/>
      <c r="F98" s="72"/>
      <c r="G98" s="72"/>
      <c r="H98" s="29"/>
      <c r="I98" s="29"/>
      <c r="J98" s="72"/>
      <c r="K98" s="72"/>
      <c r="L98" s="72"/>
      <c r="M98" s="72"/>
      <c r="N98" s="72"/>
      <c r="O98" s="72"/>
      <c r="P98" s="72"/>
    </row>
    <row r="99" spans="1:16">
      <c r="A99" s="70"/>
      <c r="B99" s="70"/>
      <c r="C99" s="70"/>
      <c r="D99" s="71"/>
      <c r="E99" s="72"/>
      <c r="F99" s="72"/>
      <c r="G99" s="72"/>
      <c r="H99" s="29"/>
      <c r="I99" s="29"/>
      <c r="J99" s="72"/>
      <c r="K99" s="72"/>
      <c r="L99" s="72"/>
      <c r="M99" s="72"/>
      <c r="N99" s="72"/>
      <c r="O99" s="72"/>
      <c r="P99" s="72"/>
    </row>
    <row r="100" spans="1:16">
      <c r="A100" s="70"/>
      <c r="B100" s="70"/>
      <c r="C100" s="70"/>
      <c r="D100" s="71"/>
      <c r="E100" s="72"/>
      <c r="F100" s="72"/>
      <c r="G100" s="72"/>
      <c r="H100" s="29"/>
      <c r="I100" s="29"/>
      <c r="J100" s="72"/>
      <c r="K100" s="72"/>
      <c r="L100" s="72"/>
      <c r="M100" s="72"/>
      <c r="N100" s="72"/>
      <c r="O100" s="72"/>
      <c r="P100" s="72"/>
    </row>
    <row r="101" spans="1:16">
      <c r="A101" s="70"/>
      <c r="B101" s="70"/>
      <c r="C101" s="70"/>
      <c r="D101" s="71"/>
      <c r="E101" s="72"/>
      <c r="F101" s="72"/>
      <c r="G101" s="72"/>
      <c r="H101" s="29"/>
      <c r="I101" s="29"/>
      <c r="J101" s="72"/>
      <c r="K101" s="72"/>
      <c r="L101" s="72"/>
      <c r="M101" s="72"/>
      <c r="N101" s="72"/>
      <c r="O101" s="72"/>
      <c r="P101" s="72"/>
    </row>
    <row r="102" spans="1:16">
      <c r="A102" s="70"/>
      <c r="B102" s="70"/>
      <c r="C102" s="70"/>
      <c r="D102" s="71"/>
      <c r="E102" s="72"/>
      <c r="F102" s="72"/>
      <c r="G102" s="72"/>
      <c r="H102" s="29"/>
      <c r="I102" s="29"/>
      <c r="J102" s="72"/>
      <c r="K102" s="72"/>
      <c r="L102" s="72"/>
      <c r="M102" s="72"/>
      <c r="N102" s="72"/>
      <c r="O102" s="72"/>
      <c r="P102" s="72"/>
    </row>
    <row r="103" spans="1:16">
      <c r="A103" s="70"/>
      <c r="B103" s="70"/>
      <c r="C103" s="70"/>
      <c r="D103" s="71"/>
      <c r="E103" s="72"/>
      <c r="F103" s="72"/>
      <c r="G103" s="72"/>
      <c r="H103" s="29"/>
      <c r="I103" s="29"/>
      <c r="J103" s="72"/>
      <c r="K103" s="72"/>
      <c r="L103" s="72"/>
      <c r="M103" s="72"/>
      <c r="N103" s="72"/>
      <c r="O103" s="72"/>
      <c r="P103" s="72"/>
    </row>
    <row r="104" spans="1:16">
      <c r="A104" s="70"/>
      <c r="B104" s="70"/>
      <c r="C104" s="70"/>
      <c r="D104" s="71"/>
      <c r="E104" s="72"/>
      <c r="F104" s="72"/>
      <c r="G104" s="72"/>
      <c r="H104" s="29"/>
      <c r="I104" s="29"/>
      <c r="J104" s="72"/>
      <c r="K104" s="72"/>
      <c r="L104" s="72"/>
      <c r="M104" s="72"/>
      <c r="N104" s="72"/>
      <c r="O104" s="72"/>
      <c r="P104" s="72"/>
    </row>
    <row r="105" spans="1:16">
      <c r="A105" s="70"/>
      <c r="B105" s="70"/>
      <c r="C105" s="70"/>
      <c r="D105" s="71"/>
      <c r="E105" s="72"/>
      <c r="F105" s="72"/>
      <c r="G105" s="72"/>
      <c r="H105" s="29"/>
      <c r="I105" s="29"/>
      <c r="J105" s="72"/>
      <c r="K105" s="72"/>
      <c r="L105" s="72"/>
      <c r="M105" s="72"/>
      <c r="N105" s="72"/>
      <c r="O105" s="72"/>
      <c r="P105" s="72"/>
    </row>
    <row r="106" spans="1:16">
      <c r="A106" s="70"/>
      <c r="B106" s="70"/>
      <c r="C106" s="70"/>
      <c r="D106" s="71"/>
      <c r="E106" s="72"/>
      <c r="F106" s="72"/>
      <c r="G106" s="72"/>
      <c r="H106" s="29"/>
      <c r="I106" s="29"/>
      <c r="J106" s="72"/>
      <c r="K106" s="72"/>
      <c r="L106" s="72"/>
      <c r="M106" s="72"/>
      <c r="N106" s="72"/>
      <c r="O106" s="72"/>
      <c r="P106" s="72"/>
    </row>
    <row r="107" spans="1:16">
      <c r="A107" s="70"/>
      <c r="B107" s="70"/>
      <c r="C107" s="70"/>
      <c r="D107" s="71"/>
      <c r="E107" s="72"/>
      <c r="F107" s="72"/>
      <c r="G107" s="72"/>
      <c r="H107" s="29"/>
      <c r="I107" s="29"/>
      <c r="J107" s="72"/>
      <c r="K107" s="72"/>
      <c r="L107" s="72"/>
      <c r="M107" s="72"/>
      <c r="N107" s="72"/>
      <c r="O107" s="72"/>
      <c r="P107" s="72"/>
    </row>
    <row r="108" spans="1:16">
      <c r="A108" s="70"/>
      <c r="B108" s="70"/>
      <c r="C108" s="70"/>
      <c r="D108" s="71"/>
      <c r="E108" s="72"/>
      <c r="F108" s="72"/>
      <c r="G108" s="72"/>
      <c r="H108" s="29"/>
      <c r="I108" s="29"/>
      <c r="J108" s="72"/>
      <c r="K108" s="72"/>
      <c r="L108" s="72"/>
      <c r="M108" s="72"/>
      <c r="N108" s="72"/>
      <c r="O108" s="72"/>
      <c r="P108" s="72"/>
    </row>
    <row r="109" spans="1:16">
      <c r="A109" s="70"/>
      <c r="B109" s="70"/>
      <c r="C109" s="70"/>
      <c r="D109" s="71"/>
      <c r="E109" s="72"/>
      <c r="F109" s="72"/>
      <c r="G109" s="72"/>
      <c r="H109" s="29"/>
      <c r="I109" s="29"/>
      <c r="J109" s="72"/>
      <c r="K109" s="72"/>
      <c r="L109" s="72"/>
      <c r="M109" s="72"/>
      <c r="N109" s="72"/>
      <c r="O109" s="72"/>
      <c r="P109" s="72"/>
    </row>
    <row r="110" spans="1:16">
      <c r="A110" s="70"/>
      <c r="B110" s="70"/>
      <c r="C110" s="70"/>
      <c r="D110" s="71"/>
      <c r="E110" s="72"/>
      <c r="F110" s="72"/>
      <c r="G110" s="72"/>
      <c r="H110" s="29"/>
      <c r="I110" s="29"/>
      <c r="J110" s="72"/>
      <c r="K110" s="72"/>
      <c r="L110" s="72"/>
      <c r="M110" s="72"/>
      <c r="N110" s="72"/>
      <c r="O110" s="72"/>
      <c r="P110" s="72"/>
    </row>
    <row r="111" spans="1:16">
      <c r="A111" s="70"/>
      <c r="B111" s="70"/>
      <c r="C111" s="70"/>
      <c r="D111" s="71"/>
      <c r="E111" s="72"/>
      <c r="F111" s="72"/>
      <c r="G111" s="72"/>
      <c r="H111" s="29"/>
      <c r="I111" s="29"/>
      <c r="J111" s="72"/>
      <c r="K111" s="72"/>
      <c r="L111" s="72"/>
      <c r="M111" s="72"/>
      <c r="N111" s="72"/>
      <c r="O111" s="72"/>
      <c r="P111" s="72"/>
    </row>
    <row r="112" spans="1:16">
      <c r="A112" s="70"/>
      <c r="B112" s="70"/>
      <c r="C112" s="70"/>
      <c r="D112" s="71"/>
      <c r="E112" s="72"/>
      <c r="F112" s="72"/>
      <c r="G112" s="72"/>
      <c r="H112" s="29"/>
      <c r="I112" s="29"/>
      <c r="J112" s="72"/>
      <c r="K112" s="72"/>
      <c r="L112" s="72"/>
      <c r="M112" s="72"/>
      <c r="N112" s="72"/>
      <c r="O112" s="72"/>
      <c r="P112" s="72"/>
    </row>
    <row r="113" spans="1:16">
      <c r="A113" s="70"/>
      <c r="B113" s="70"/>
      <c r="C113" s="70"/>
      <c r="D113" s="71"/>
      <c r="E113" s="72"/>
      <c r="F113" s="72"/>
      <c r="G113" s="72"/>
      <c r="H113" s="29"/>
      <c r="I113" s="29"/>
      <c r="J113" s="72"/>
      <c r="K113" s="72"/>
      <c r="L113" s="72"/>
      <c r="M113" s="72"/>
      <c r="N113" s="72"/>
      <c r="O113" s="72"/>
      <c r="P113" s="72"/>
    </row>
    <row r="114" spans="1:16">
      <c r="A114" s="70"/>
      <c r="B114" s="70"/>
      <c r="C114" s="70"/>
      <c r="D114" s="71"/>
      <c r="E114" s="72"/>
      <c r="F114" s="72"/>
      <c r="G114" s="72"/>
      <c r="H114" s="29"/>
      <c r="I114" s="29"/>
      <c r="J114" s="72"/>
      <c r="K114" s="72"/>
      <c r="L114" s="72"/>
      <c r="M114" s="72"/>
      <c r="N114" s="72"/>
      <c r="O114" s="72"/>
      <c r="P114" s="72"/>
    </row>
    <row r="115" spans="1:16">
      <c r="A115" s="70"/>
      <c r="B115" s="70"/>
      <c r="C115" s="70"/>
      <c r="D115" s="71"/>
      <c r="E115" s="72"/>
      <c r="F115" s="72"/>
      <c r="G115" s="72"/>
      <c r="H115" s="29"/>
      <c r="I115" s="29"/>
      <c r="J115" s="72"/>
      <c r="K115" s="72"/>
      <c r="L115" s="72"/>
      <c r="M115" s="72"/>
      <c r="N115" s="72"/>
      <c r="O115" s="72"/>
      <c r="P115" s="72"/>
    </row>
    <row r="116" spans="1:16">
      <c r="A116" s="70"/>
      <c r="B116" s="70"/>
      <c r="C116" s="70"/>
      <c r="D116" s="71"/>
      <c r="E116" s="72"/>
      <c r="F116" s="72"/>
      <c r="G116" s="72"/>
      <c r="H116" s="29"/>
      <c r="I116" s="29"/>
      <c r="J116" s="72"/>
      <c r="K116" s="72"/>
      <c r="L116" s="72"/>
      <c r="M116" s="72"/>
      <c r="N116" s="72"/>
      <c r="O116" s="72"/>
      <c r="P116" s="72"/>
    </row>
    <row r="117" spans="1:16">
      <c r="A117" s="70"/>
      <c r="B117" s="70"/>
      <c r="C117" s="70"/>
      <c r="D117" s="71"/>
      <c r="E117" s="72"/>
      <c r="F117" s="72"/>
      <c r="G117" s="72"/>
      <c r="H117" s="29"/>
      <c r="I117" s="29"/>
      <c r="J117" s="72"/>
      <c r="K117" s="72"/>
      <c r="L117" s="72"/>
      <c r="M117" s="72"/>
      <c r="N117" s="72"/>
      <c r="O117" s="72"/>
      <c r="P117" s="72"/>
    </row>
    <row r="118" spans="1:16">
      <c r="A118" s="70"/>
      <c r="B118" s="70"/>
      <c r="C118" s="70"/>
      <c r="D118" s="71"/>
      <c r="E118" s="72"/>
      <c r="F118" s="72"/>
      <c r="G118" s="72"/>
      <c r="H118" s="29"/>
      <c r="I118" s="29"/>
      <c r="J118" s="72"/>
      <c r="K118" s="72"/>
      <c r="L118" s="72"/>
      <c r="M118" s="72"/>
      <c r="N118" s="72"/>
      <c r="O118" s="72"/>
      <c r="P118" s="72"/>
    </row>
    <row r="119" spans="1:16">
      <c r="A119" s="70"/>
      <c r="B119" s="70"/>
      <c r="C119" s="70"/>
      <c r="D119" s="71"/>
      <c r="E119" s="72"/>
      <c r="F119" s="72"/>
      <c r="G119" s="72"/>
      <c r="H119" s="29"/>
      <c r="I119" s="29"/>
      <c r="J119" s="72"/>
      <c r="K119" s="72"/>
      <c r="L119" s="72"/>
      <c r="M119" s="72"/>
      <c r="N119" s="72"/>
      <c r="O119" s="72"/>
      <c r="P119" s="72"/>
    </row>
    <row r="120" spans="1:16">
      <c r="A120" s="70"/>
      <c r="B120" s="70"/>
      <c r="C120" s="70"/>
      <c r="D120" s="71"/>
      <c r="E120" s="72"/>
      <c r="F120" s="72"/>
      <c r="G120" s="72"/>
      <c r="H120" s="29"/>
      <c r="I120" s="29"/>
      <c r="J120" s="72"/>
      <c r="K120" s="72"/>
      <c r="L120" s="72"/>
      <c r="M120" s="72"/>
      <c r="N120" s="72"/>
      <c r="O120" s="72"/>
      <c r="P120" s="72"/>
    </row>
    <row r="121" spans="1:16">
      <c r="A121" s="70"/>
      <c r="B121" s="70"/>
      <c r="C121" s="70"/>
      <c r="D121" s="71"/>
      <c r="E121" s="72"/>
      <c r="F121" s="72"/>
      <c r="G121" s="72"/>
      <c r="H121" s="29"/>
      <c r="I121" s="29"/>
      <c r="J121" s="72"/>
      <c r="K121" s="72"/>
      <c r="L121" s="72"/>
      <c r="M121" s="72"/>
      <c r="N121" s="72"/>
      <c r="O121" s="72"/>
      <c r="P121" s="72"/>
    </row>
    <row r="122" spans="1:16">
      <c r="A122" s="70"/>
      <c r="B122" s="70"/>
      <c r="C122" s="70"/>
      <c r="D122" s="71"/>
      <c r="E122" s="72"/>
      <c r="F122" s="72"/>
      <c r="G122" s="72"/>
      <c r="H122" s="29"/>
      <c r="I122" s="29"/>
      <c r="J122" s="72"/>
      <c r="K122" s="72"/>
      <c r="L122" s="72"/>
      <c r="M122" s="72"/>
      <c r="N122" s="72"/>
      <c r="O122" s="72"/>
      <c r="P122" s="72"/>
    </row>
    <row r="123" spans="1:16">
      <c r="A123" s="70"/>
      <c r="B123" s="70"/>
      <c r="C123" s="70"/>
      <c r="D123" s="71"/>
      <c r="E123" s="72"/>
      <c r="F123" s="72"/>
      <c r="G123" s="72"/>
      <c r="H123" s="29"/>
      <c r="I123" s="29"/>
      <c r="J123" s="72"/>
      <c r="K123" s="72"/>
      <c r="L123" s="72"/>
      <c r="M123" s="72"/>
      <c r="N123" s="72"/>
      <c r="O123" s="72"/>
      <c r="P123" s="72"/>
    </row>
    <row r="124" spans="1:16">
      <c r="A124" s="70"/>
      <c r="B124" s="70"/>
      <c r="C124" s="70"/>
      <c r="D124" s="71"/>
      <c r="E124" s="72"/>
      <c r="F124" s="72"/>
      <c r="G124" s="72"/>
      <c r="H124" s="29"/>
      <c r="I124" s="29"/>
      <c r="J124" s="72"/>
      <c r="K124" s="72"/>
      <c r="L124" s="72"/>
      <c r="M124" s="72"/>
      <c r="N124" s="72"/>
      <c r="O124" s="72"/>
      <c r="P124" s="72"/>
    </row>
    <row r="125" spans="1:16">
      <c r="A125" s="70"/>
      <c r="B125" s="70"/>
      <c r="C125" s="70"/>
      <c r="D125" s="71"/>
      <c r="E125" s="72"/>
      <c r="F125" s="72"/>
      <c r="G125" s="72"/>
      <c r="H125" s="29"/>
      <c r="I125" s="29"/>
      <c r="J125" s="72"/>
      <c r="K125" s="72"/>
      <c r="L125" s="72"/>
      <c r="M125" s="72"/>
      <c r="N125" s="72"/>
      <c r="O125" s="72"/>
      <c r="P125" s="72"/>
    </row>
    <row r="126" spans="1:16">
      <c r="A126" s="70"/>
      <c r="B126" s="70"/>
      <c r="C126" s="70"/>
      <c r="D126" s="71"/>
      <c r="E126" s="72"/>
      <c r="F126" s="72"/>
      <c r="G126" s="72"/>
      <c r="H126" s="29"/>
      <c r="I126" s="29"/>
      <c r="J126" s="72"/>
      <c r="K126" s="72"/>
      <c r="L126" s="72"/>
      <c r="M126" s="72"/>
      <c r="N126" s="72"/>
      <c r="O126" s="72"/>
      <c r="P126" s="72"/>
    </row>
    <row r="127" spans="1:16">
      <c r="A127" s="70"/>
      <c r="B127" s="70"/>
      <c r="C127" s="70"/>
      <c r="D127" s="71"/>
      <c r="E127" s="72"/>
      <c r="F127" s="72"/>
      <c r="G127" s="72"/>
      <c r="H127" s="29"/>
      <c r="I127" s="29"/>
      <c r="J127" s="72"/>
      <c r="K127" s="72"/>
      <c r="L127" s="72"/>
      <c r="M127" s="72"/>
      <c r="N127" s="72"/>
      <c r="O127" s="72"/>
      <c r="P127" s="72"/>
    </row>
    <row r="128" spans="1:16">
      <c r="A128" s="70"/>
      <c r="B128" s="70"/>
      <c r="C128" s="70"/>
      <c r="D128" s="71"/>
      <c r="E128" s="72"/>
      <c r="F128" s="72"/>
      <c r="G128" s="72"/>
      <c r="H128" s="29"/>
      <c r="I128" s="29"/>
      <c r="J128" s="72"/>
      <c r="K128" s="72"/>
      <c r="L128" s="72"/>
      <c r="M128" s="72"/>
      <c r="N128" s="72"/>
      <c r="O128" s="72"/>
      <c r="P128" s="72"/>
    </row>
    <row r="129" spans="1:16">
      <c r="A129" s="70"/>
      <c r="B129" s="70"/>
      <c r="C129" s="70"/>
      <c r="D129" s="71"/>
      <c r="E129" s="72"/>
      <c r="F129" s="72"/>
      <c r="G129" s="72"/>
      <c r="H129" s="29"/>
      <c r="I129" s="29"/>
      <c r="J129" s="72"/>
      <c r="K129" s="72"/>
      <c r="L129" s="72"/>
      <c r="M129" s="72"/>
      <c r="N129" s="72"/>
      <c r="O129" s="72"/>
      <c r="P129" s="72"/>
    </row>
    <row r="130" spans="1:16">
      <c r="A130" s="70"/>
      <c r="B130" s="70"/>
      <c r="C130" s="70"/>
      <c r="D130" s="71"/>
      <c r="E130" s="72"/>
      <c r="F130" s="72"/>
      <c r="G130" s="72"/>
      <c r="H130" s="29"/>
      <c r="I130" s="29"/>
      <c r="J130" s="72"/>
      <c r="K130" s="72"/>
      <c r="L130" s="72"/>
      <c r="M130" s="72"/>
      <c r="N130" s="72"/>
      <c r="O130" s="72"/>
      <c r="P130" s="72"/>
    </row>
    <row r="131" spans="1:16">
      <c r="A131" s="70"/>
      <c r="B131" s="70"/>
      <c r="C131" s="70"/>
      <c r="D131" s="71"/>
      <c r="E131" s="72"/>
      <c r="F131" s="72"/>
      <c r="G131" s="72"/>
      <c r="H131" s="29"/>
      <c r="I131" s="29"/>
      <c r="J131" s="72"/>
      <c r="K131" s="72"/>
      <c r="L131" s="72"/>
      <c r="M131" s="72"/>
      <c r="N131" s="72"/>
      <c r="O131" s="72"/>
      <c r="P131" s="72"/>
    </row>
    <row r="132" spans="1:16">
      <c r="A132" s="70"/>
      <c r="B132" s="70"/>
      <c r="C132" s="70"/>
      <c r="D132" s="71"/>
      <c r="E132" s="72"/>
      <c r="F132" s="72"/>
      <c r="G132" s="72"/>
      <c r="H132" s="29"/>
      <c r="I132" s="29"/>
      <c r="J132" s="72"/>
      <c r="K132" s="72"/>
      <c r="L132" s="72"/>
      <c r="M132" s="72"/>
      <c r="N132" s="72"/>
      <c r="O132" s="72"/>
      <c r="P132" s="72"/>
    </row>
    <row r="133" spans="1:16">
      <c r="A133" s="70"/>
      <c r="B133" s="70"/>
      <c r="C133" s="70"/>
      <c r="D133" s="71"/>
      <c r="E133" s="72"/>
      <c r="F133" s="72"/>
      <c r="G133" s="72"/>
      <c r="H133" s="29"/>
      <c r="I133" s="29"/>
      <c r="J133" s="72"/>
      <c r="K133" s="72"/>
      <c r="L133" s="72"/>
      <c r="M133" s="72"/>
      <c r="N133" s="72"/>
      <c r="O133" s="72"/>
      <c r="P133" s="72"/>
    </row>
    <row r="134" spans="1:16">
      <c r="A134" s="70"/>
      <c r="B134" s="70"/>
      <c r="C134" s="70"/>
      <c r="D134" s="71"/>
      <c r="E134" s="72"/>
      <c r="F134" s="72"/>
      <c r="G134" s="72"/>
      <c r="H134" s="29"/>
      <c r="I134" s="29"/>
      <c r="J134" s="72"/>
      <c r="K134" s="72"/>
      <c r="L134" s="72"/>
      <c r="M134" s="72"/>
      <c r="N134" s="72"/>
      <c r="O134" s="72"/>
      <c r="P134" s="72"/>
    </row>
    <row r="135" spans="1:16">
      <c r="A135" s="70"/>
      <c r="B135" s="70"/>
      <c r="C135" s="70"/>
      <c r="D135" s="71"/>
      <c r="E135" s="72"/>
      <c r="F135" s="72"/>
      <c r="G135" s="72"/>
      <c r="H135" s="29"/>
      <c r="I135" s="29"/>
      <c r="J135" s="72"/>
      <c r="K135" s="72"/>
      <c r="L135" s="72"/>
      <c r="M135" s="72"/>
      <c r="N135" s="72"/>
      <c r="O135" s="72"/>
      <c r="P135" s="72"/>
    </row>
    <row r="136" spans="1:16">
      <c r="A136" s="70"/>
      <c r="B136" s="70"/>
      <c r="C136" s="70"/>
      <c r="D136" s="71"/>
      <c r="E136" s="72"/>
      <c r="F136" s="72"/>
      <c r="G136" s="72"/>
      <c r="H136" s="29"/>
      <c r="I136" s="29"/>
      <c r="J136" s="72"/>
      <c r="K136" s="72"/>
      <c r="L136" s="72"/>
      <c r="M136" s="72"/>
      <c r="N136" s="72"/>
      <c r="O136" s="72"/>
      <c r="P136" s="72"/>
    </row>
    <row r="137" spans="1:16">
      <c r="A137" s="70"/>
      <c r="B137" s="70"/>
      <c r="C137" s="70"/>
      <c r="D137" s="71"/>
      <c r="E137" s="72"/>
      <c r="F137" s="72"/>
      <c r="G137" s="72"/>
      <c r="H137" s="29"/>
      <c r="I137" s="29"/>
      <c r="J137" s="72"/>
      <c r="K137" s="72"/>
      <c r="L137" s="72"/>
      <c r="M137" s="72"/>
      <c r="N137" s="72"/>
      <c r="O137" s="72"/>
      <c r="P137" s="72"/>
    </row>
    <row r="138" spans="1:16">
      <c r="A138" s="70"/>
      <c r="B138" s="70"/>
      <c r="C138" s="70"/>
      <c r="D138" s="71"/>
      <c r="E138" s="72"/>
      <c r="F138" s="72"/>
      <c r="G138" s="72"/>
      <c r="H138" s="29"/>
      <c r="I138" s="29"/>
      <c r="J138" s="72"/>
      <c r="K138" s="72"/>
      <c r="L138" s="72"/>
      <c r="M138" s="72"/>
      <c r="N138" s="72"/>
      <c r="O138" s="72"/>
      <c r="P138" s="72"/>
    </row>
    <row r="139" spans="1:16">
      <c r="A139" s="70"/>
      <c r="B139" s="70"/>
      <c r="C139" s="70"/>
      <c r="D139" s="71"/>
      <c r="E139" s="72"/>
      <c r="F139" s="72"/>
      <c r="G139" s="72"/>
      <c r="H139" s="29"/>
      <c r="I139" s="29"/>
      <c r="J139" s="72"/>
      <c r="K139" s="72"/>
      <c r="L139" s="72"/>
      <c r="M139" s="72"/>
      <c r="N139" s="72"/>
      <c r="O139" s="72"/>
      <c r="P139" s="72"/>
    </row>
    <row r="140" spans="1:16">
      <c r="A140" s="70"/>
      <c r="B140" s="70"/>
      <c r="C140" s="70"/>
      <c r="D140" s="71"/>
      <c r="E140" s="72"/>
      <c r="F140" s="72"/>
      <c r="G140" s="72"/>
      <c r="H140" s="29"/>
      <c r="I140" s="29"/>
      <c r="J140" s="72"/>
      <c r="K140" s="72"/>
      <c r="L140" s="72"/>
      <c r="M140" s="72"/>
      <c r="N140" s="72"/>
      <c r="O140" s="72"/>
      <c r="P140" s="72"/>
    </row>
    <row r="141" spans="1:16">
      <c r="A141" s="70"/>
      <c r="B141" s="70"/>
      <c r="C141" s="70"/>
      <c r="D141" s="71"/>
      <c r="E141" s="72"/>
      <c r="F141" s="72"/>
      <c r="G141" s="72"/>
      <c r="H141" s="29"/>
      <c r="I141" s="29"/>
      <c r="J141" s="72"/>
      <c r="K141" s="72"/>
      <c r="L141" s="72"/>
      <c r="M141" s="72"/>
      <c r="N141" s="72"/>
      <c r="O141" s="72"/>
      <c r="P141" s="72"/>
    </row>
    <row r="142" spans="1:16">
      <c r="A142" s="70"/>
      <c r="B142" s="70"/>
      <c r="C142" s="70"/>
      <c r="D142" s="71"/>
      <c r="E142" s="72"/>
      <c r="F142" s="72"/>
      <c r="G142" s="72"/>
      <c r="H142" s="29"/>
      <c r="I142" s="29"/>
      <c r="J142" s="72"/>
      <c r="K142" s="72"/>
      <c r="L142" s="72"/>
      <c r="M142" s="72"/>
      <c r="N142" s="72"/>
      <c r="O142" s="72"/>
      <c r="P142" s="72"/>
    </row>
    <row r="143" spans="1:16">
      <c r="A143" s="70"/>
      <c r="B143" s="70"/>
      <c r="C143" s="70"/>
      <c r="D143" s="71"/>
      <c r="E143" s="72"/>
      <c r="F143" s="72"/>
      <c r="G143" s="72"/>
      <c r="H143" s="29"/>
      <c r="I143" s="29"/>
      <c r="J143" s="72"/>
      <c r="K143" s="72"/>
      <c r="L143" s="72"/>
      <c r="M143" s="72"/>
      <c r="N143" s="72"/>
      <c r="O143" s="72"/>
      <c r="P143" s="72"/>
    </row>
    <row r="144" spans="1:16">
      <c r="A144" s="70"/>
      <c r="B144" s="70"/>
      <c r="C144" s="70"/>
      <c r="D144" s="71"/>
      <c r="E144" s="72"/>
      <c r="F144" s="72"/>
      <c r="G144" s="72"/>
      <c r="H144" s="29"/>
      <c r="I144" s="29"/>
      <c r="J144" s="72"/>
      <c r="K144" s="72"/>
      <c r="L144" s="72"/>
      <c r="M144" s="72"/>
      <c r="N144" s="72"/>
      <c r="O144" s="72"/>
      <c r="P144" s="72"/>
    </row>
    <row r="145" spans="1:16">
      <c r="A145" s="70"/>
      <c r="B145" s="70"/>
      <c r="C145" s="70"/>
      <c r="D145" s="71"/>
      <c r="E145" s="72"/>
      <c r="F145" s="72"/>
      <c r="G145" s="72"/>
      <c r="H145" s="29"/>
      <c r="I145" s="29"/>
      <c r="J145" s="72"/>
      <c r="K145" s="72"/>
      <c r="L145" s="72"/>
      <c r="M145" s="72"/>
      <c r="N145" s="72"/>
      <c r="O145" s="72"/>
      <c r="P145" s="72"/>
    </row>
    <row r="146" spans="1:16">
      <c r="A146" s="70"/>
      <c r="B146" s="70"/>
      <c r="C146" s="70"/>
      <c r="D146" s="71"/>
      <c r="E146" s="72"/>
      <c r="F146" s="72"/>
      <c r="G146" s="72"/>
      <c r="H146" s="29"/>
      <c r="I146" s="29"/>
      <c r="J146" s="72"/>
      <c r="K146" s="72"/>
      <c r="L146" s="72"/>
      <c r="M146" s="72"/>
      <c r="N146" s="72"/>
      <c r="O146" s="72"/>
      <c r="P146" s="72"/>
    </row>
    <row r="147" spans="1:16">
      <c r="A147" s="70"/>
      <c r="B147" s="70"/>
      <c r="C147" s="70"/>
      <c r="D147" s="71"/>
      <c r="E147" s="72"/>
      <c r="F147" s="72"/>
      <c r="G147" s="72"/>
      <c r="H147" s="29"/>
      <c r="I147" s="29"/>
      <c r="J147" s="72"/>
      <c r="K147" s="72"/>
      <c r="L147" s="72"/>
      <c r="M147" s="72"/>
      <c r="N147" s="72"/>
      <c r="O147" s="72"/>
      <c r="P147" s="72"/>
    </row>
    <row r="148" spans="1:16">
      <c r="A148" s="70"/>
      <c r="B148" s="70"/>
      <c r="C148" s="70"/>
      <c r="D148" s="71"/>
      <c r="E148" s="72"/>
      <c r="F148" s="72"/>
      <c r="G148" s="72"/>
      <c r="H148" s="29"/>
      <c r="I148" s="29"/>
      <c r="J148" s="72"/>
      <c r="K148" s="72"/>
      <c r="L148" s="72"/>
      <c r="M148" s="72"/>
      <c r="N148" s="72"/>
      <c r="O148" s="72"/>
      <c r="P148" s="72"/>
    </row>
    <row r="149" spans="1:16">
      <c r="A149" s="70"/>
      <c r="B149" s="70"/>
      <c r="C149" s="70"/>
      <c r="D149" s="71"/>
      <c r="E149" s="72"/>
      <c r="F149" s="72"/>
      <c r="G149" s="72"/>
      <c r="H149" s="29"/>
      <c r="I149" s="29"/>
      <c r="J149" s="72"/>
      <c r="K149" s="72"/>
      <c r="L149" s="72"/>
      <c r="M149" s="72"/>
      <c r="N149" s="72"/>
      <c r="O149" s="72"/>
      <c r="P149" s="72"/>
    </row>
    <row r="150" spans="1:16">
      <c r="A150" s="70"/>
      <c r="B150" s="70"/>
      <c r="C150" s="70"/>
      <c r="D150" s="71"/>
      <c r="E150" s="72"/>
      <c r="F150" s="72"/>
      <c r="G150" s="72"/>
      <c r="H150" s="29"/>
      <c r="I150" s="29"/>
      <c r="J150" s="72"/>
      <c r="K150" s="72"/>
      <c r="L150" s="72"/>
      <c r="M150" s="72"/>
      <c r="N150" s="72"/>
      <c r="O150" s="72"/>
      <c r="P150" s="72"/>
    </row>
    <row r="151" spans="1:16">
      <c r="A151" s="70"/>
      <c r="B151" s="70"/>
      <c r="C151" s="70"/>
      <c r="D151" s="71"/>
      <c r="E151" s="72"/>
      <c r="F151" s="72"/>
      <c r="G151" s="72"/>
      <c r="H151" s="29"/>
      <c r="I151" s="29"/>
      <c r="J151" s="72"/>
      <c r="K151" s="72"/>
      <c r="L151" s="72"/>
      <c r="M151" s="72"/>
      <c r="N151" s="72"/>
      <c r="O151" s="72"/>
      <c r="P151" s="72"/>
    </row>
    <row r="152" spans="1:16">
      <c r="A152" s="70"/>
      <c r="B152" s="70"/>
      <c r="C152" s="70"/>
      <c r="D152" s="71"/>
      <c r="E152" s="72"/>
      <c r="F152" s="72"/>
      <c r="G152" s="72"/>
      <c r="H152" s="29"/>
      <c r="I152" s="29"/>
      <c r="J152" s="72"/>
      <c r="K152" s="72"/>
      <c r="L152" s="72"/>
      <c r="M152" s="72"/>
      <c r="N152" s="72"/>
      <c r="O152" s="72"/>
      <c r="P152" s="72"/>
    </row>
    <row r="153" spans="1:16">
      <c r="A153" s="70"/>
      <c r="B153" s="70"/>
      <c r="C153" s="70"/>
      <c r="D153" s="71"/>
      <c r="E153" s="72"/>
      <c r="F153" s="72"/>
      <c r="G153" s="72"/>
      <c r="H153" s="29"/>
      <c r="I153" s="29"/>
      <c r="J153" s="72"/>
      <c r="K153" s="72"/>
      <c r="L153" s="72"/>
      <c r="M153" s="72"/>
      <c r="N153" s="72"/>
      <c r="O153" s="72"/>
      <c r="P153" s="72"/>
    </row>
    <row r="154" spans="1:16">
      <c r="A154" s="70"/>
      <c r="B154" s="70"/>
      <c r="C154" s="70"/>
      <c r="D154" s="71"/>
      <c r="E154" s="72"/>
      <c r="F154" s="72"/>
      <c r="G154" s="72"/>
      <c r="H154" s="29"/>
      <c r="I154" s="29"/>
      <c r="J154" s="72"/>
      <c r="K154" s="72"/>
      <c r="L154" s="72"/>
      <c r="M154" s="72"/>
      <c r="N154" s="72"/>
      <c r="O154" s="72"/>
      <c r="P154" s="72"/>
    </row>
    <row r="155" spans="1:16">
      <c r="A155" s="70"/>
      <c r="B155" s="70"/>
      <c r="C155" s="70"/>
      <c r="D155" s="71"/>
      <c r="E155" s="72"/>
      <c r="F155" s="72"/>
      <c r="G155" s="72"/>
      <c r="H155" s="29"/>
      <c r="I155" s="29"/>
      <c r="J155" s="72"/>
      <c r="K155" s="72"/>
      <c r="L155" s="72"/>
      <c r="M155" s="72"/>
      <c r="N155" s="72"/>
      <c r="O155" s="72"/>
      <c r="P155" s="72"/>
    </row>
    <row r="156" spans="1:16">
      <c r="A156" s="70"/>
      <c r="B156" s="70"/>
      <c r="C156" s="70"/>
      <c r="D156" s="71"/>
      <c r="E156" s="72"/>
      <c r="F156" s="72"/>
      <c r="G156" s="72"/>
      <c r="H156" s="29"/>
      <c r="I156" s="29"/>
      <c r="J156" s="72"/>
      <c r="K156" s="72"/>
      <c r="L156" s="72"/>
      <c r="M156" s="72"/>
      <c r="N156" s="72"/>
      <c r="O156" s="72"/>
      <c r="P156" s="72"/>
    </row>
    <row r="157" spans="1:16">
      <c r="A157" s="70"/>
      <c r="B157" s="70"/>
      <c r="C157" s="70"/>
      <c r="D157" s="71"/>
      <c r="E157" s="72"/>
      <c r="F157" s="72"/>
      <c r="G157" s="72"/>
      <c r="H157" s="29"/>
      <c r="I157" s="29"/>
      <c r="J157" s="72"/>
      <c r="K157" s="72"/>
      <c r="L157" s="72"/>
      <c r="M157" s="72"/>
      <c r="N157" s="72"/>
      <c r="O157" s="72"/>
      <c r="P157" s="72"/>
    </row>
    <row r="158" spans="1:16">
      <c r="A158" s="70"/>
      <c r="B158" s="70"/>
      <c r="C158" s="70"/>
      <c r="D158" s="71"/>
      <c r="E158" s="72"/>
      <c r="F158" s="72"/>
      <c r="G158" s="72"/>
      <c r="H158" s="29"/>
      <c r="I158" s="29"/>
      <c r="J158" s="72"/>
      <c r="K158" s="72"/>
      <c r="L158" s="72"/>
      <c r="M158" s="72"/>
      <c r="N158" s="72"/>
      <c r="O158" s="72"/>
      <c r="P158" s="72"/>
    </row>
    <row r="159" spans="1:16">
      <c r="A159" s="70"/>
      <c r="B159" s="70"/>
      <c r="C159" s="70"/>
      <c r="D159" s="71"/>
      <c r="E159" s="72"/>
      <c r="F159" s="72"/>
      <c r="G159" s="72"/>
      <c r="H159" s="29"/>
      <c r="I159" s="29"/>
      <c r="J159" s="72"/>
      <c r="K159" s="72"/>
      <c r="L159" s="72"/>
      <c r="M159" s="72"/>
      <c r="N159" s="72"/>
      <c r="O159" s="72"/>
      <c r="P159" s="72"/>
    </row>
    <row r="160" spans="1:16">
      <c r="A160" s="70"/>
      <c r="B160" s="70"/>
      <c r="C160" s="70"/>
      <c r="D160" s="71"/>
      <c r="E160" s="72"/>
      <c r="F160" s="72"/>
      <c r="G160" s="72"/>
      <c r="H160" s="29"/>
      <c r="I160" s="29"/>
      <c r="J160" s="72"/>
      <c r="K160" s="72"/>
      <c r="L160" s="72"/>
      <c r="M160" s="72"/>
      <c r="N160" s="72"/>
      <c r="O160" s="72"/>
      <c r="P160" s="72"/>
    </row>
    <row r="161" spans="1:16">
      <c r="A161" s="70"/>
      <c r="B161" s="70"/>
      <c r="C161" s="70"/>
      <c r="D161" s="71"/>
      <c r="E161" s="72"/>
      <c r="F161" s="72"/>
      <c r="G161" s="72"/>
      <c r="H161" s="29"/>
      <c r="I161" s="29"/>
      <c r="J161" s="72"/>
      <c r="K161" s="72"/>
      <c r="L161" s="72"/>
      <c r="M161" s="72"/>
      <c r="N161" s="72"/>
      <c r="O161" s="72"/>
      <c r="P161" s="72"/>
    </row>
    <row r="162" spans="1:16">
      <c r="A162" s="70"/>
      <c r="B162" s="70"/>
      <c r="C162" s="70"/>
      <c r="D162" s="71"/>
      <c r="E162" s="72"/>
      <c r="F162" s="72"/>
      <c r="G162" s="72"/>
      <c r="H162" s="29"/>
      <c r="I162" s="29"/>
      <c r="J162" s="72"/>
      <c r="K162" s="72"/>
      <c r="L162" s="72"/>
      <c r="M162" s="72"/>
      <c r="N162" s="72"/>
      <c r="O162" s="72"/>
      <c r="P162" s="72"/>
    </row>
    <row r="163" spans="1:16">
      <c r="A163" s="70"/>
      <c r="B163" s="70"/>
      <c r="C163" s="70"/>
      <c r="D163" s="71"/>
      <c r="E163" s="72"/>
      <c r="F163" s="72"/>
      <c r="G163" s="72"/>
      <c r="H163" s="29"/>
      <c r="I163" s="29"/>
      <c r="J163" s="72"/>
      <c r="K163" s="72"/>
      <c r="L163" s="72"/>
      <c r="M163" s="72"/>
      <c r="N163" s="72"/>
      <c r="O163" s="72"/>
      <c r="P163" s="72"/>
    </row>
    <row r="164" spans="1:16">
      <c r="A164" s="70"/>
      <c r="B164" s="70"/>
      <c r="C164" s="70"/>
      <c r="D164" s="71"/>
      <c r="E164" s="72"/>
      <c r="F164" s="72"/>
      <c r="G164" s="72"/>
      <c r="H164" s="29"/>
      <c r="I164" s="29"/>
      <c r="J164" s="72"/>
      <c r="K164" s="72"/>
      <c r="L164" s="72"/>
      <c r="M164" s="72"/>
      <c r="N164" s="72"/>
      <c r="O164" s="72"/>
      <c r="P164" s="72"/>
    </row>
    <row r="165" spans="1:16">
      <c r="A165" s="70"/>
      <c r="B165" s="70"/>
      <c r="C165" s="70"/>
      <c r="D165" s="71"/>
      <c r="E165" s="72"/>
      <c r="F165" s="72"/>
      <c r="G165" s="72"/>
      <c r="H165" s="29"/>
      <c r="I165" s="29"/>
      <c r="J165" s="72"/>
      <c r="K165" s="72"/>
      <c r="L165" s="72"/>
      <c r="M165" s="72"/>
      <c r="N165" s="72"/>
      <c r="O165" s="72"/>
      <c r="P165" s="72"/>
    </row>
    <row r="166" spans="1:16">
      <c r="A166" s="70"/>
      <c r="B166" s="70"/>
      <c r="C166" s="70"/>
      <c r="D166" s="71"/>
      <c r="E166" s="72"/>
      <c r="F166" s="72"/>
      <c r="G166" s="72"/>
      <c r="H166" s="29"/>
      <c r="I166" s="29"/>
      <c r="J166" s="72"/>
      <c r="K166" s="72"/>
      <c r="L166" s="72"/>
      <c r="M166" s="72"/>
      <c r="N166" s="72"/>
      <c r="O166" s="72"/>
      <c r="P166" s="72"/>
    </row>
    <row r="167" spans="1:16">
      <c r="A167" s="70"/>
      <c r="B167" s="70"/>
      <c r="C167" s="70"/>
      <c r="D167" s="71"/>
      <c r="E167" s="72"/>
      <c r="F167" s="72"/>
      <c r="G167" s="72"/>
      <c r="H167" s="29"/>
      <c r="I167" s="29"/>
      <c r="J167" s="72"/>
      <c r="K167" s="72"/>
      <c r="L167" s="72"/>
      <c r="M167" s="72"/>
      <c r="N167" s="72"/>
      <c r="O167" s="72"/>
      <c r="P167" s="72"/>
    </row>
    <row r="168" spans="1:16">
      <c r="A168" s="70"/>
      <c r="B168" s="70"/>
      <c r="C168" s="70"/>
      <c r="D168" s="71"/>
      <c r="E168" s="72"/>
      <c r="F168" s="72"/>
      <c r="G168" s="72"/>
      <c r="H168" s="29"/>
      <c r="I168" s="29"/>
      <c r="J168" s="72"/>
      <c r="K168" s="72"/>
      <c r="L168" s="72"/>
      <c r="M168" s="72"/>
      <c r="N168" s="72"/>
      <c r="O168" s="72"/>
      <c r="P168" s="72"/>
    </row>
    <row r="169" spans="1:16">
      <c r="A169" s="70"/>
      <c r="B169" s="70"/>
      <c r="C169" s="70"/>
      <c r="D169" s="71"/>
      <c r="E169" s="72"/>
      <c r="F169" s="72"/>
      <c r="G169" s="72"/>
      <c r="H169" s="29"/>
      <c r="I169" s="29"/>
      <c r="J169" s="72"/>
      <c r="K169" s="72"/>
      <c r="L169" s="72"/>
      <c r="M169" s="72"/>
      <c r="N169" s="72"/>
      <c r="O169" s="72"/>
      <c r="P169" s="72"/>
    </row>
    <row r="170" spans="1:16">
      <c r="A170" s="70"/>
      <c r="B170" s="70"/>
      <c r="C170" s="70"/>
      <c r="D170" s="71"/>
      <c r="E170" s="72"/>
      <c r="F170" s="72"/>
      <c r="G170" s="72"/>
      <c r="H170" s="29"/>
      <c r="I170" s="29"/>
      <c r="J170" s="72"/>
      <c r="K170" s="72"/>
      <c r="L170" s="72"/>
      <c r="M170" s="72"/>
      <c r="N170" s="72"/>
      <c r="O170" s="72"/>
      <c r="P170" s="72"/>
    </row>
    <row r="171" spans="1:16">
      <c r="A171" s="70"/>
      <c r="B171" s="70"/>
      <c r="C171" s="70"/>
      <c r="D171" s="71"/>
      <c r="E171" s="72"/>
      <c r="F171" s="72"/>
      <c r="G171" s="72"/>
      <c r="H171" s="29"/>
      <c r="I171" s="29"/>
      <c r="J171" s="72"/>
      <c r="K171" s="72"/>
      <c r="L171" s="72"/>
      <c r="M171" s="72"/>
      <c r="N171" s="72"/>
      <c r="O171" s="72"/>
      <c r="P171" s="72"/>
    </row>
    <row r="172" spans="1:16">
      <c r="A172" s="70"/>
      <c r="B172" s="70"/>
      <c r="C172" s="70"/>
      <c r="D172" s="71"/>
      <c r="E172" s="72"/>
      <c r="F172" s="72"/>
      <c r="G172" s="72"/>
      <c r="H172" s="29"/>
      <c r="I172" s="29"/>
      <c r="J172" s="72"/>
      <c r="K172" s="72"/>
      <c r="L172" s="72"/>
      <c r="M172" s="72"/>
      <c r="N172" s="72"/>
      <c r="O172" s="72"/>
      <c r="P172" s="72"/>
    </row>
    <row r="173" spans="1:16">
      <c r="A173" s="70"/>
      <c r="B173" s="70"/>
      <c r="C173" s="70"/>
      <c r="D173" s="71"/>
      <c r="E173" s="72"/>
      <c r="F173" s="72"/>
      <c r="G173" s="72"/>
      <c r="H173" s="29"/>
      <c r="I173" s="29"/>
      <c r="J173" s="72"/>
      <c r="K173" s="72"/>
      <c r="L173" s="72"/>
      <c r="M173" s="72"/>
      <c r="N173" s="72"/>
      <c r="O173" s="72"/>
      <c r="P173" s="72"/>
    </row>
    <row r="174" spans="1:16">
      <c r="A174" s="70"/>
      <c r="B174" s="70"/>
      <c r="C174" s="70"/>
      <c r="D174" s="71"/>
      <c r="E174" s="72"/>
      <c r="F174" s="72"/>
      <c r="G174" s="72"/>
      <c r="H174" s="29"/>
      <c r="I174" s="29"/>
      <c r="J174" s="72"/>
      <c r="K174" s="72"/>
      <c r="L174" s="72"/>
      <c r="M174" s="72"/>
      <c r="N174" s="72"/>
      <c r="O174" s="72"/>
      <c r="P174" s="72"/>
    </row>
    <row r="175" spans="1:16">
      <c r="A175" s="70"/>
      <c r="B175" s="70"/>
      <c r="C175" s="70"/>
      <c r="D175" s="71"/>
      <c r="E175" s="72"/>
      <c r="F175" s="72"/>
      <c r="G175" s="72"/>
      <c r="H175" s="29"/>
      <c r="I175" s="29"/>
      <c r="J175" s="72"/>
      <c r="K175" s="72"/>
      <c r="L175" s="72"/>
      <c r="M175" s="72"/>
      <c r="N175" s="72"/>
      <c r="O175" s="72"/>
      <c r="P175" s="72"/>
    </row>
    <row r="176" spans="1:16">
      <c r="A176" s="70"/>
      <c r="B176" s="70"/>
      <c r="C176" s="70"/>
      <c r="D176" s="71"/>
      <c r="E176" s="72"/>
      <c r="F176" s="72"/>
      <c r="G176" s="72"/>
      <c r="H176" s="29"/>
      <c r="I176" s="29"/>
      <c r="J176" s="72"/>
      <c r="K176" s="72"/>
      <c r="L176" s="72"/>
      <c r="M176" s="72"/>
      <c r="N176" s="72"/>
      <c r="O176" s="72"/>
      <c r="P176" s="72"/>
    </row>
    <row r="177" spans="1:16">
      <c r="A177" s="70"/>
      <c r="B177" s="70"/>
      <c r="C177" s="70"/>
      <c r="D177" s="71"/>
      <c r="E177" s="72"/>
      <c r="F177" s="72"/>
      <c r="G177" s="72"/>
      <c r="H177" s="29"/>
      <c r="I177" s="29"/>
      <c r="J177" s="72"/>
      <c r="K177" s="72"/>
      <c r="L177" s="72"/>
      <c r="M177" s="72"/>
      <c r="N177" s="72"/>
      <c r="O177" s="72"/>
      <c r="P177" s="72"/>
    </row>
    <row r="178" spans="1:16">
      <c r="A178" s="70"/>
      <c r="B178" s="70"/>
      <c r="C178" s="70"/>
      <c r="D178" s="71"/>
      <c r="E178" s="72"/>
      <c r="F178" s="72"/>
      <c r="G178" s="72"/>
      <c r="H178" s="29"/>
      <c r="I178" s="29"/>
      <c r="J178" s="72"/>
      <c r="K178" s="72"/>
      <c r="L178" s="72"/>
      <c r="M178" s="72"/>
      <c r="N178" s="72"/>
      <c r="O178" s="72"/>
      <c r="P178" s="72"/>
    </row>
    <row r="179" spans="1:16">
      <c r="A179" s="70"/>
      <c r="B179" s="70"/>
      <c r="C179" s="70"/>
      <c r="D179" s="71"/>
      <c r="E179" s="72"/>
      <c r="F179" s="72"/>
      <c r="G179" s="72"/>
      <c r="H179" s="29"/>
      <c r="I179" s="29"/>
      <c r="J179" s="72"/>
      <c r="K179" s="72"/>
      <c r="L179" s="72"/>
      <c r="M179" s="72"/>
      <c r="N179" s="72"/>
      <c r="O179" s="72"/>
      <c r="P179" s="72"/>
    </row>
    <row r="180" spans="1:16">
      <c r="A180" s="70"/>
      <c r="B180" s="70"/>
      <c r="C180" s="70"/>
      <c r="D180" s="71"/>
      <c r="E180" s="72"/>
      <c r="F180" s="72"/>
      <c r="G180" s="72"/>
      <c r="H180" s="29"/>
      <c r="I180" s="29"/>
      <c r="J180" s="72"/>
      <c r="K180" s="72"/>
      <c r="L180" s="72"/>
      <c r="M180" s="72"/>
      <c r="N180" s="72"/>
      <c r="O180" s="72"/>
      <c r="P180" s="72"/>
    </row>
    <row r="181" spans="1:16">
      <c r="A181" s="70"/>
      <c r="B181" s="70"/>
      <c r="C181" s="70"/>
      <c r="D181" s="71"/>
      <c r="E181" s="72"/>
      <c r="F181" s="72"/>
      <c r="G181" s="72"/>
      <c r="H181" s="29"/>
      <c r="I181" s="29"/>
      <c r="J181" s="72"/>
      <c r="K181" s="72"/>
      <c r="L181" s="72"/>
      <c r="M181" s="72"/>
      <c r="N181" s="72"/>
      <c r="O181" s="72"/>
      <c r="P181" s="72"/>
    </row>
    <row r="182" spans="1:16">
      <c r="A182" s="70"/>
      <c r="B182" s="70"/>
      <c r="C182" s="70"/>
      <c r="D182" s="71"/>
      <c r="E182" s="72"/>
      <c r="F182" s="72"/>
      <c r="G182" s="72"/>
      <c r="H182" s="29"/>
      <c r="I182" s="29"/>
      <c r="J182" s="72"/>
      <c r="K182" s="72"/>
      <c r="L182" s="72"/>
      <c r="M182" s="72"/>
      <c r="N182" s="72"/>
      <c r="O182" s="72"/>
      <c r="P182" s="72"/>
    </row>
    <row r="183" spans="1:16">
      <c r="A183" s="70"/>
      <c r="B183" s="70"/>
      <c r="C183" s="70"/>
      <c r="D183" s="71"/>
      <c r="E183" s="72"/>
      <c r="F183" s="72"/>
      <c r="G183" s="72"/>
      <c r="H183" s="29"/>
      <c r="I183" s="29"/>
      <c r="J183" s="72"/>
      <c r="K183" s="72"/>
      <c r="L183" s="72"/>
      <c r="M183" s="72"/>
      <c r="N183" s="72"/>
      <c r="O183" s="72"/>
      <c r="P183" s="72"/>
    </row>
    <row r="184" spans="1:16">
      <c r="A184" s="70"/>
      <c r="B184" s="70"/>
      <c r="C184" s="70"/>
      <c r="D184" s="71"/>
      <c r="E184" s="72"/>
      <c r="F184" s="72"/>
      <c r="G184" s="72"/>
      <c r="H184" s="29"/>
      <c r="I184" s="29"/>
      <c r="J184" s="72"/>
      <c r="K184" s="72"/>
      <c r="L184" s="72"/>
      <c r="M184" s="72"/>
      <c r="N184" s="72"/>
      <c r="O184" s="72"/>
      <c r="P184" s="72"/>
    </row>
    <row r="185" spans="1:16">
      <c r="A185" s="70"/>
      <c r="B185" s="70"/>
      <c r="C185" s="70"/>
      <c r="D185" s="71"/>
      <c r="E185" s="72"/>
      <c r="F185" s="72"/>
      <c r="G185" s="72"/>
      <c r="H185" s="29"/>
      <c r="I185" s="29"/>
      <c r="J185" s="72"/>
      <c r="K185" s="72"/>
      <c r="L185" s="72"/>
      <c r="M185" s="72"/>
      <c r="N185" s="72"/>
      <c r="O185" s="72"/>
      <c r="P185" s="72"/>
    </row>
    <row r="186" spans="1:16">
      <c r="A186" s="70"/>
      <c r="B186" s="70"/>
      <c r="C186" s="70"/>
      <c r="D186" s="71"/>
      <c r="E186" s="72"/>
      <c r="F186" s="72"/>
      <c r="G186" s="72"/>
      <c r="H186" s="29"/>
      <c r="I186" s="29"/>
      <c r="J186" s="72"/>
      <c r="K186" s="72"/>
      <c r="L186" s="72"/>
      <c r="M186" s="72"/>
      <c r="N186" s="72"/>
      <c r="O186" s="72"/>
      <c r="P186" s="72"/>
    </row>
    <row r="187" spans="1:16">
      <c r="A187" s="70"/>
      <c r="B187" s="70"/>
      <c r="C187" s="70"/>
      <c r="D187" s="71"/>
      <c r="E187" s="72"/>
      <c r="F187" s="72"/>
      <c r="G187" s="72"/>
      <c r="H187" s="29"/>
      <c r="I187" s="29"/>
      <c r="J187" s="72"/>
      <c r="K187" s="72"/>
      <c r="L187" s="72"/>
      <c r="M187" s="72"/>
      <c r="N187" s="72"/>
      <c r="O187" s="72"/>
      <c r="P187" s="72"/>
    </row>
    <row r="188" spans="1:16">
      <c r="A188" s="70"/>
      <c r="B188" s="70"/>
      <c r="C188" s="70"/>
      <c r="D188" s="71"/>
      <c r="E188" s="72"/>
      <c r="F188" s="72"/>
      <c r="G188" s="72"/>
      <c r="H188" s="29"/>
      <c r="I188" s="29"/>
      <c r="J188" s="72"/>
      <c r="K188" s="72"/>
      <c r="L188" s="72"/>
      <c r="M188" s="72"/>
      <c r="N188" s="72"/>
      <c r="O188" s="72"/>
      <c r="P188" s="72"/>
    </row>
    <row r="189" spans="1:16">
      <c r="A189" s="70"/>
      <c r="B189" s="70"/>
      <c r="C189" s="70"/>
      <c r="D189" s="71"/>
      <c r="E189" s="72"/>
      <c r="F189" s="72"/>
      <c r="G189" s="72"/>
      <c r="H189" s="29"/>
      <c r="I189" s="29"/>
      <c r="J189" s="72"/>
      <c r="K189" s="72"/>
      <c r="L189" s="72"/>
      <c r="M189" s="72"/>
      <c r="N189" s="72"/>
      <c r="O189" s="72"/>
      <c r="P189" s="72"/>
    </row>
    <row r="190" spans="1:16">
      <c r="A190" s="70"/>
      <c r="B190" s="70"/>
      <c r="C190" s="70"/>
      <c r="D190" s="71"/>
      <c r="E190" s="72"/>
      <c r="F190" s="72"/>
      <c r="G190" s="72"/>
      <c r="H190" s="29"/>
      <c r="I190" s="29"/>
      <c r="J190" s="72"/>
      <c r="K190" s="72"/>
      <c r="L190" s="72"/>
      <c r="M190" s="72"/>
      <c r="N190" s="72"/>
      <c r="O190" s="72"/>
      <c r="P190" s="72"/>
    </row>
    <row r="191" spans="1:16">
      <c r="A191" s="70"/>
      <c r="B191" s="70"/>
      <c r="C191" s="70"/>
      <c r="D191" s="71"/>
      <c r="E191" s="72"/>
      <c r="F191" s="72"/>
      <c r="G191" s="72"/>
      <c r="H191" s="29"/>
      <c r="I191" s="29"/>
      <c r="J191" s="72"/>
      <c r="K191" s="72"/>
      <c r="L191" s="72"/>
      <c r="M191" s="72"/>
      <c r="N191" s="72"/>
      <c r="O191" s="72"/>
      <c r="P191" s="72"/>
    </row>
    <row r="192" spans="1:16">
      <c r="A192" s="70"/>
      <c r="B192" s="70"/>
      <c r="C192" s="70"/>
      <c r="D192" s="71"/>
      <c r="E192" s="72"/>
      <c r="F192" s="72"/>
      <c r="G192" s="72"/>
      <c r="H192" s="29"/>
      <c r="I192" s="29"/>
      <c r="J192" s="72"/>
      <c r="K192" s="72"/>
      <c r="L192" s="72"/>
      <c r="M192" s="72"/>
      <c r="N192" s="72"/>
      <c r="O192" s="72"/>
      <c r="P192" s="72"/>
    </row>
    <row r="193" spans="1:16">
      <c r="A193" s="70"/>
      <c r="B193" s="70"/>
      <c r="C193" s="70"/>
      <c r="D193" s="71"/>
      <c r="E193" s="72"/>
      <c r="F193" s="72"/>
      <c r="G193" s="72"/>
      <c r="H193" s="29"/>
      <c r="I193" s="29"/>
      <c r="J193" s="72"/>
      <c r="K193" s="72"/>
      <c r="L193" s="72"/>
      <c r="M193" s="72"/>
      <c r="N193" s="72"/>
      <c r="O193" s="72"/>
      <c r="P193" s="72"/>
    </row>
    <row r="194" spans="1:16">
      <c r="A194" s="70"/>
      <c r="B194" s="70"/>
      <c r="C194" s="70"/>
      <c r="D194" s="71"/>
      <c r="E194" s="72"/>
      <c r="F194" s="72"/>
      <c r="G194" s="72"/>
      <c r="H194" s="29"/>
      <c r="I194" s="29"/>
      <c r="J194" s="72"/>
      <c r="K194" s="72"/>
      <c r="L194" s="72"/>
      <c r="M194" s="72"/>
      <c r="N194" s="72"/>
      <c r="O194" s="72"/>
      <c r="P194" s="72"/>
    </row>
    <row r="195" spans="1:16">
      <c r="A195" s="70"/>
      <c r="B195" s="70"/>
      <c r="C195" s="70"/>
      <c r="D195" s="71"/>
      <c r="E195" s="72"/>
      <c r="F195" s="72"/>
      <c r="G195" s="72"/>
      <c r="H195" s="29"/>
      <c r="I195" s="29"/>
      <c r="J195" s="72"/>
      <c r="K195" s="72"/>
      <c r="L195" s="72"/>
      <c r="M195" s="72"/>
      <c r="N195" s="72"/>
      <c r="O195" s="72"/>
      <c r="P195" s="72"/>
    </row>
    <row r="196" spans="1:16">
      <c r="A196" s="70"/>
      <c r="B196" s="70"/>
      <c r="C196" s="70"/>
      <c r="D196" s="71"/>
      <c r="E196" s="72"/>
      <c r="F196" s="72"/>
      <c r="G196" s="72"/>
      <c r="H196" s="29"/>
      <c r="I196" s="29"/>
      <c r="J196" s="72"/>
      <c r="K196" s="72"/>
      <c r="L196" s="72"/>
      <c r="M196" s="72"/>
      <c r="N196" s="72"/>
      <c r="O196" s="72"/>
      <c r="P196" s="72"/>
    </row>
    <row r="197" spans="1:16">
      <c r="A197" s="70"/>
      <c r="B197" s="70"/>
      <c r="C197" s="70"/>
      <c r="D197" s="71"/>
      <c r="E197" s="72"/>
      <c r="F197" s="72"/>
      <c r="G197" s="72"/>
      <c r="H197" s="29"/>
      <c r="I197" s="29"/>
      <c r="J197" s="72"/>
      <c r="K197" s="72"/>
      <c r="L197" s="72"/>
      <c r="M197" s="72"/>
      <c r="N197" s="72"/>
      <c r="O197" s="72"/>
      <c r="P197" s="72"/>
    </row>
    <row r="198" spans="1:16">
      <c r="A198" s="70"/>
      <c r="B198" s="70"/>
      <c r="C198" s="70"/>
      <c r="D198" s="71"/>
      <c r="E198" s="72"/>
      <c r="F198" s="72"/>
      <c r="G198" s="72"/>
      <c r="H198" s="29"/>
      <c r="I198" s="29"/>
      <c r="J198" s="72"/>
      <c r="K198" s="72"/>
      <c r="L198" s="72"/>
      <c r="M198" s="72"/>
      <c r="N198" s="72"/>
      <c r="O198" s="72"/>
      <c r="P198" s="72"/>
    </row>
    <row r="199" spans="1:16">
      <c r="A199" s="70"/>
      <c r="B199" s="70"/>
      <c r="C199" s="70"/>
      <c r="D199" s="71"/>
      <c r="E199" s="72"/>
      <c r="F199" s="72"/>
      <c r="G199" s="72"/>
      <c r="H199" s="29"/>
      <c r="I199" s="29"/>
      <c r="J199" s="72"/>
      <c r="K199" s="72"/>
      <c r="L199" s="72"/>
      <c r="M199" s="72"/>
      <c r="N199" s="72"/>
      <c r="O199" s="72"/>
      <c r="P199" s="72"/>
    </row>
    <row r="200" spans="1:16">
      <c r="A200" s="70"/>
      <c r="B200" s="70"/>
      <c r="C200" s="70"/>
      <c r="D200" s="71"/>
      <c r="E200" s="72"/>
      <c r="F200" s="72"/>
      <c r="G200" s="72"/>
      <c r="H200" s="29"/>
      <c r="I200" s="29"/>
      <c r="J200" s="72"/>
      <c r="K200" s="72"/>
      <c r="L200" s="72"/>
      <c r="M200" s="72"/>
      <c r="N200" s="72"/>
      <c r="O200" s="72"/>
      <c r="P200" s="72"/>
    </row>
    <row r="201" spans="1:16">
      <c r="A201" s="70"/>
      <c r="B201" s="70"/>
      <c r="C201" s="70"/>
      <c r="D201" s="71"/>
      <c r="E201" s="72"/>
      <c r="F201" s="72"/>
      <c r="G201" s="72"/>
      <c r="H201" s="29"/>
      <c r="I201" s="29"/>
      <c r="J201" s="72"/>
      <c r="K201" s="72"/>
      <c r="L201" s="72"/>
      <c r="M201" s="72"/>
      <c r="N201" s="72"/>
      <c r="O201" s="72"/>
      <c r="P201" s="72"/>
    </row>
    <row r="202" spans="1:16">
      <c r="A202" s="70"/>
      <c r="B202" s="70"/>
      <c r="C202" s="70"/>
      <c r="D202" s="71"/>
      <c r="E202" s="72"/>
      <c r="F202" s="72"/>
      <c r="G202" s="72"/>
      <c r="H202" s="29"/>
      <c r="I202" s="29"/>
      <c r="J202" s="72"/>
      <c r="K202" s="72"/>
      <c r="L202" s="72"/>
      <c r="M202" s="72"/>
      <c r="N202" s="72"/>
      <c r="O202" s="72"/>
      <c r="P202" s="72"/>
    </row>
    <row r="203" spans="1:16">
      <c r="A203" s="70"/>
      <c r="B203" s="70"/>
      <c r="C203" s="70"/>
      <c r="D203" s="71"/>
      <c r="E203" s="72"/>
      <c r="F203" s="72"/>
      <c r="G203" s="72"/>
      <c r="H203" s="29"/>
      <c r="I203" s="29"/>
      <c r="J203" s="72"/>
      <c r="K203" s="72"/>
      <c r="L203" s="72"/>
      <c r="M203" s="72"/>
      <c r="N203" s="72"/>
      <c r="O203" s="72"/>
      <c r="P203" s="72"/>
    </row>
    <row r="204" spans="1:16">
      <c r="A204" s="70"/>
      <c r="B204" s="70"/>
      <c r="C204" s="70"/>
      <c r="D204" s="71"/>
      <c r="E204" s="72"/>
      <c r="F204" s="72"/>
      <c r="G204" s="72"/>
      <c r="H204" s="29"/>
      <c r="I204" s="29"/>
      <c r="J204" s="72"/>
      <c r="K204" s="72"/>
      <c r="L204" s="72"/>
      <c r="M204" s="72"/>
      <c r="N204" s="72"/>
      <c r="O204" s="72"/>
      <c r="P204" s="72"/>
    </row>
    <row r="205" spans="1:16">
      <c r="A205" s="70"/>
      <c r="B205" s="70"/>
      <c r="C205" s="70"/>
      <c r="D205" s="71"/>
      <c r="E205" s="72"/>
      <c r="F205" s="72"/>
      <c r="G205" s="72"/>
      <c r="H205" s="29"/>
      <c r="I205" s="29"/>
      <c r="J205" s="72"/>
      <c r="K205" s="72"/>
      <c r="L205" s="72"/>
      <c r="M205" s="72"/>
      <c r="N205" s="72"/>
      <c r="O205" s="72"/>
      <c r="P205" s="72"/>
    </row>
    <row r="206" spans="1:16">
      <c r="A206" s="70"/>
      <c r="B206" s="70"/>
      <c r="C206" s="70"/>
      <c r="D206" s="71"/>
      <c r="E206" s="72"/>
      <c r="F206" s="72"/>
      <c r="G206" s="72"/>
      <c r="H206" s="29"/>
      <c r="I206" s="29"/>
      <c r="J206" s="72"/>
      <c r="K206" s="72"/>
      <c r="L206" s="72"/>
      <c r="M206" s="72"/>
      <c r="N206" s="72"/>
      <c r="O206" s="72"/>
      <c r="P206" s="72"/>
    </row>
    <row r="207" spans="1:16">
      <c r="A207" s="70"/>
      <c r="B207" s="70"/>
      <c r="C207" s="70"/>
      <c r="D207" s="71"/>
      <c r="E207" s="72"/>
      <c r="F207" s="72"/>
      <c r="G207" s="72"/>
      <c r="H207" s="29"/>
      <c r="I207" s="29"/>
      <c r="J207" s="72"/>
      <c r="K207" s="72"/>
      <c r="L207" s="72"/>
      <c r="M207" s="72"/>
      <c r="N207" s="72"/>
      <c r="O207" s="72"/>
      <c r="P207" s="72"/>
    </row>
    <row r="208" spans="1:16">
      <c r="A208" s="70"/>
      <c r="B208" s="70"/>
      <c r="C208" s="70"/>
      <c r="D208" s="71"/>
      <c r="E208" s="72"/>
      <c r="F208" s="72"/>
      <c r="G208" s="72"/>
      <c r="H208" s="29"/>
      <c r="I208" s="29"/>
      <c r="J208" s="72"/>
      <c r="K208" s="72"/>
      <c r="L208" s="72"/>
      <c r="M208" s="72"/>
      <c r="N208" s="72"/>
      <c r="O208" s="72"/>
      <c r="P208" s="72"/>
    </row>
    <row r="209" spans="1:16">
      <c r="A209" s="70"/>
      <c r="B209" s="70"/>
      <c r="C209" s="70"/>
      <c r="D209" s="71"/>
      <c r="E209" s="72"/>
      <c r="F209" s="72"/>
      <c r="G209" s="72"/>
      <c r="H209" s="29"/>
      <c r="I209" s="29"/>
      <c r="J209" s="72"/>
      <c r="K209" s="72"/>
      <c r="L209" s="72"/>
      <c r="M209" s="72"/>
      <c r="N209" s="72"/>
      <c r="O209" s="72"/>
      <c r="P209" s="72"/>
    </row>
    <row r="210" spans="1:16">
      <c r="A210" s="70"/>
      <c r="B210" s="70"/>
      <c r="C210" s="70"/>
      <c r="D210" s="71"/>
      <c r="E210" s="72"/>
      <c r="F210" s="72"/>
      <c r="G210" s="72"/>
      <c r="H210" s="29"/>
      <c r="I210" s="29"/>
      <c r="J210" s="72"/>
      <c r="K210" s="72"/>
      <c r="L210" s="72"/>
      <c r="M210" s="72"/>
      <c r="N210" s="72"/>
      <c r="O210" s="72"/>
      <c r="P210" s="72"/>
    </row>
    <row r="211" spans="1:16">
      <c r="A211" s="70"/>
      <c r="B211" s="70"/>
      <c r="C211" s="70"/>
      <c r="D211" s="71"/>
      <c r="E211" s="72"/>
      <c r="F211" s="72"/>
      <c r="G211" s="72"/>
      <c r="H211" s="29"/>
      <c r="I211" s="29"/>
      <c r="J211" s="72"/>
      <c r="K211" s="72"/>
      <c r="L211" s="72"/>
      <c r="M211" s="72"/>
      <c r="N211" s="72"/>
      <c r="O211" s="72"/>
      <c r="P211" s="72"/>
    </row>
    <row r="212" spans="1:16">
      <c r="A212" s="70"/>
      <c r="B212" s="70"/>
      <c r="C212" s="70"/>
      <c r="D212" s="71"/>
      <c r="E212" s="72"/>
      <c r="F212" s="72"/>
      <c r="G212" s="72"/>
      <c r="H212" s="29"/>
      <c r="I212" s="29"/>
      <c r="J212" s="72"/>
      <c r="K212" s="72"/>
      <c r="L212" s="72"/>
      <c r="M212" s="72"/>
      <c r="N212" s="72"/>
      <c r="O212" s="72"/>
      <c r="P212" s="72"/>
    </row>
    <row r="213" spans="1:16">
      <c r="A213" s="70"/>
      <c r="B213" s="70"/>
      <c r="C213" s="70"/>
      <c r="D213" s="71"/>
      <c r="E213" s="72"/>
      <c r="F213" s="72"/>
      <c r="G213" s="72"/>
      <c r="H213" s="29"/>
      <c r="I213" s="29"/>
      <c r="J213" s="72"/>
      <c r="K213" s="72"/>
      <c r="L213" s="72"/>
      <c r="M213" s="72"/>
      <c r="N213" s="72"/>
      <c r="O213" s="72"/>
      <c r="P213" s="72"/>
    </row>
    <row r="214" spans="1:16">
      <c r="A214" s="70"/>
      <c r="B214" s="70"/>
      <c r="C214" s="70"/>
      <c r="D214" s="71"/>
      <c r="E214" s="72"/>
      <c r="F214" s="72"/>
      <c r="G214" s="72"/>
      <c r="H214" s="29"/>
      <c r="I214" s="29"/>
      <c r="J214" s="72"/>
      <c r="K214" s="72"/>
      <c r="L214" s="72"/>
      <c r="M214" s="72"/>
      <c r="N214" s="72"/>
      <c r="O214" s="72"/>
      <c r="P214" s="72"/>
    </row>
    <row r="215" spans="1:16">
      <c r="A215" s="70"/>
      <c r="B215" s="70"/>
      <c r="C215" s="70"/>
      <c r="D215" s="71"/>
      <c r="E215" s="72"/>
      <c r="F215" s="72"/>
      <c r="G215" s="72"/>
      <c r="H215" s="29"/>
      <c r="I215" s="29"/>
      <c r="J215" s="72"/>
      <c r="K215" s="72"/>
      <c r="L215" s="72"/>
      <c r="M215" s="72"/>
      <c r="N215" s="72"/>
      <c r="O215" s="72"/>
      <c r="P215" s="72"/>
    </row>
    <row r="216" spans="1:16">
      <c r="A216" s="70"/>
      <c r="B216" s="70"/>
      <c r="C216" s="70"/>
      <c r="D216" s="71"/>
      <c r="E216" s="72"/>
      <c r="F216" s="72"/>
      <c r="G216" s="72"/>
      <c r="H216" s="29"/>
      <c r="I216" s="29"/>
      <c r="J216" s="72"/>
      <c r="K216" s="72"/>
      <c r="L216" s="72"/>
      <c r="M216" s="72"/>
      <c r="N216" s="72"/>
      <c r="O216" s="72"/>
      <c r="P216" s="72"/>
    </row>
    <row r="217" spans="1:16">
      <c r="A217" s="70"/>
      <c r="B217" s="70"/>
      <c r="C217" s="70"/>
      <c r="D217" s="71"/>
      <c r="E217" s="72"/>
      <c r="F217" s="72"/>
      <c r="G217" s="72"/>
      <c r="H217" s="29"/>
      <c r="I217" s="29"/>
      <c r="J217" s="72"/>
      <c r="K217" s="72"/>
      <c r="L217" s="72"/>
      <c r="M217" s="72"/>
      <c r="N217" s="72"/>
      <c r="O217" s="72"/>
      <c r="P217" s="72"/>
    </row>
    <row r="218" spans="1:16">
      <c r="A218" s="70"/>
      <c r="B218" s="70"/>
      <c r="C218" s="70"/>
      <c r="D218" s="71"/>
      <c r="E218" s="72"/>
      <c r="F218" s="72"/>
      <c r="G218" s="72"/>
      <c r="H218" s="29"/>
      <c r="I218" s="29"/>
      <c r="J218" s="72"/>
      <c r="K218" s="72"/>
      <c r="L218" s="72"/>
      <c r="M218" s="72"/>
      <c r="N218" s="72"/>
      <c r="O218" s="72"/>
      <c r="P218" s="72"/>
    </row>
    <row r="219" spans="1:16">
      <c r="A219" s="70"/>
      <c r="B219" s="70"/>
      <c r="C219" s="70"/>
      <c r="D219" s="71"/>
      <c r="E219" s="72"/>
      <c r="F219" s="72"/>
      <c r="G219" s="72"/>
      <c r="H219" s="29"/>
      <c r="I219" s="29"/>
      <c r="J219" s="72"/>
      <c r="K219" s="72"/>
      <c r="L219" s="72"/>
      <c r="M219" s="72"/>
      <c r="N219" s="72"/>
      <c r="O219" s="72"/>
      <c r="P219" s="72"/>
    </row>
    <row r="220" spans="1:16">
      <c r="A220" s="70"/>
      <c r="B220" s="70"/>
      <c r="C220" s="70"/>
      <c r="D220" s="71"/>
      <c r="E220" s="72"/>
      <c r="F220" s="72"/>
      <c r="G220" s="72"/>
      <c r="H220" s="29"/>
      <c r="I220" s="29"/>
      <c r="J220" s="72"/>
      <c r="K220" s="72"/>
      <c r="L220" s="72"/>
      <c r="M220" s="72"/>
      <c r="N220" s="72"/>
      <c r="O220" s="72"/>
      <c r="P220" s="72"/>
    </row>
    <row r="221" spans="1:16">
      <c r="A221" s="70"/>
      <c r="B221" s="70"/>
      <c r="C221" s="70"/>
      <c r="D221" s="71"/>
      <c r="E221" s="72"/>
      <c r="F221" s="72"/>
      <c r="G221" s="72"/>
      <c r="H221" s="29"/>
      <c r="I221" s="29"/>
      <c r="J221" s="72"/>
      <c r="K221" s="72"/>
      <c r="L221" s="72"/>
      <c r="M221" s="72"/>
      <c r="N221" s="72"/>
      <c r="O221" s="72"/>
      <c r="P221" s="72"/>
    </row>
    <row r="222" spans="1:16">
      <c r="A222" s="70"/>
      <c r="B222" s="70"/>
      <c r="C222" s="70"/>
      <c r="D222" s="71"/>
      <c r="E222" s="72"/>
      <c r="F222" s="72"/>
      <c r="G222" s="72"/>
      <c r="H222" s="29"/>
      <c r="I222" s="29"/>
      <c r="J222" s="72"/>
      <c r="K222" s="72"/>
      <c r="L222" s="72"/>
      <c r="M222" s="72"/>
      <c r="N222" s="72"/>
      <c r="O222" s="72"/>
      <c r="P222" s="72"/>
    </row>
    <row r="223" spans="1:16">
      <c r="A223" s="70"/>
      <c r="B223" s="70"/>
      <c r="C223" s="70"/>
      <c r="D223" s="71"/>
      <c r="E223" s="72"/>
      <c r="F223" s="72"/>
      <c r="G223" s="72"/>
      <c r="H223" s="29"/>
      <c r="I223" s="29"/>
      <c r="J223" s="72"/>
      <c r="K223" s="72"/>
      <c r="L223" s="72"/>
      <c r="M223" s="72"/>
      <c r="N223" s="72"/>
      <c r="O223" s="72"/>
      <c r="P223" s="72"/>
    </row>
    <row r="224" spans="1:16">
      <c r="A224" s="70"/>
      <c r="B224" s="70"/>
      <c r="C224" s="70"/>
      <c r="D224" s="71"/>
      <c r="E224" s="72"/>
      <c r="F224" s="72"/>
      <c r="G224" s="72"/>
      <c r="H224" s="29"/>
      <c r="I224" s="29"/>
      <c r="J224" s="72"/>
      <c r="K224" s="72"/>
      <c r="L224" s="72"/>
      <c r="M224" s="72"/>
      <c r="N224" s="72"/>
      <c r="O224" s="72"/>
      <c r="P224" s="72"/>
    </row>
    <row r="225" spans="1:16">
      <c r="A225" s="70"/>
      <c r="B225" s="70"/>
      <c r="C225" s="70"/>
      <c r="D225" s="71"/>
      <c r="E225" s="72"/>
      <c r="F225" s="72"/>
      <c r="G225" s="72"/>
      <c r="H225" s="29"/>
      <c r="I225" s="29"/>
      <c r="J225" s="72"/>
      <c r="K225" s="72"/>
      <c r="L225" s="72"/>
      <c r="M225" s="72"/>
      <c r="N225" s="72"/>
      <c r="O225" s="72"/>
      <c r="P225" s="72"/>
    </row>
    <row r="226" spans="1:16">
      <c r="A226" s="70"/>
      <c r="B226" s="70"/>
      <c r="C226" s="70"/>
      <c r="D226" s="71"/>
      <c r="E226" s="72"/>
      <c r="F226" s="72"/>
      <c r="G226" s="72"/>
      <c r="H226" s="29"/>
      <c r="I226" s="29"/>
      <c r="J226" s="72"/>
      <c r="K226" s="72"/>
      <c r="L226" s="72"/>
      <c r="M226" s="72"/>
      <c r="N226" s="72"/>
      <c r="O226" s="72"/>
      <c r="P226" s="72"/>
    </row>
    <row r="227" spans="1:16">
      <c r="A227" s="70"/>
      <c r="B227" s="70"/>
      <c r="C227" s="70"/>
      <c r="D227" s="71"/>
      <c r="E227" s="72"/>
      <c r="F227" s="72"/>
      <c r="G227" s="72"/>
      <c r="H227" s="29"/>
      <c r="I227" s="29"/>
      <c r="J227" s="72"/>
      <c r="K227" s="72"/>
      <c r="L227" s="72"/>
      <c r="M227" s="72"/>
      <c r="N227" s="72"/>
      <c r="O227" s="72"/>
      <c r="P227" s="72"/>
    </row>
    <row r="228" spans="1:16">
      <c r="A228" s="70"/>
      <c r="B228" s="70"/>
      <c r="C228" s="70"/>
      <c r="D228" s="71"/>
      <c r="E228" s="72"/>
      <c r="F228" s="72"/>
      <c r="G228" s="72"/>
      <c r="H228" s="29"/>
      <c r="I228" s="29"/>
      <c r="J228" s="72"/>
      <c r="K228" s="72"/>
      <c r="L228" s="72"/>
      <c r="M228" s="72"/>
      <c r="N228" s="72"/>
      <c r="O228" s="72"/>
      <c r="P228" s="72"/>
    </row>
    <row r="229" spans="1:16">
      <c r="A229" s="70"/>
      <c r="B229" s="70"/>
      <c r="C229" s="70"/>
      <c r="D229" s="71"/>
      <c r="E229" s="72"/>
      <c r="F229" s="72"/>
      <c r="G229" s="72"/>
      <c r="H229" s="29"/>
      <c r="I229" s="29"/>
      <c r="J229" s="72"/>
      <c r="K229" s="72"/>
      <c r="L229" s="72"/>
      <c r="M229" s="72"/>
      <c r="N229" s="72"/>
      <c r="O229" s="72"/>
      <c r="P229" s="72"/>
    </row>
    <row r="230" spans="1:16">
      <c r="A230" s="70"/>
      <c r="B230" s="70"/>
      <c r="C230" s="70"/>
      <c r="D230" s="71"/>
      <c r="E230" s="72"/>
      <c r="F230" s="72"/>
      <c r="G230" s="72"/>
      <c r="H230" s="29"/>
      <c r="I230" s="29"/>
      <c r="J230" s="72"/>
      <c r="K230" s="72"/>
      <c r="L230" s="72"/>
      <c r="M230" s="72"/>
      <c r="N230" s="72"/>
      <c r="O230" s="72"/>
      <c r="P230" s="72"/>
    </row>
    <row r="231" spans="1:16">
      <c r="A231" s="70"/>
      <c r="B231" s="70"/>
      <c r="C231" s="70"/>
      <c r="D231" s="71"/>
      <c r="E231" s="72"/>
      <c r="F231" s="72"/>
      <c r="G231" s="72"/>
      <c r="H231" s="29"/>
      <c r="I231" s="29"/>
      <c r="J231" s="72"/>
      <c r="K231" s="72"/>
      <c r="L231" s="72"/>
      <c r="M231" s="72"/>
      <c r="N231" s="72"/>
      <c r="O231" s="72"/>
      <c r="P231" s="72"/>
    </row>
    <row r="232" spans="1:16">
      <c r="A232" s="70"/>
      <c r="B232" s="70"/>
      <c r="C232" s="70"/>
      <c r="D232" s="71"/>
      <c r="E232" s="72"/>
      <c r="F232" s="72"/>
      <c r="G232" s="72"/>
      <c r="H232" s="29"/>
      <c r="I232" s="29"/>
      <c r="J232" s="72"/>
      <c r="K232" s="72"/>
      <c r="L232" s="72"/>
      <c r="M232" s="72"/>
      <c r="N232" s="72"/>
      <c r="O232" s="72"/>
      <c r="P232" s="72"/>
    </row>
    <row r="233" spans="1:16">
      <c r="A233" s="70"/>
      <c r="B233" s="70"/>
      <c r="C233" s="70"/>
      <c r="D233" s="71"/>
      <c r="E233" s="72"/>
      <c r="F233" s="72"/>
      <c r="G233" s="72"/>
      <c r="H233" s="29"/>
      <c r="I233" s="29"/>
      <c r="J233" s="72"/>
      <c r="K233" s="72"/>
      <c r="L233" s="72"/>
      <c r="M233" s="72"/>
      <c r="N233" s="72"/>
      <c r="O233" s="72"/>
      <c r="P233" s="72"/>
    </row>
    <row r="234" spans="1:16">
      <c r="A234" s="70"/>
      <c r="B234" s="70"/>
      <c r="C234" s="70"/>
      <c r="D234" s="71"/>
      <c r="E234" s="72"/>
      <c r="F234" s="72"/>
      <c r="G234" s="72"/>
      <c r="H234" s="29"/>
      <c r="I234" s="29"/>
      <c r="J234" s="72"/>
      <c r="K234" s="72"/>
      <c r="L234" s="72"/>
      <c r="M234" s="72"/>
      <c r="N234" s="72"/>
      <c r="O234" s="72"/>
      <c r="P234" s="72"/>
    </row>
    <row r="235" spans="1:16">
      <c r="A235" s="70"/>
      <c r="B235" s="70"/>
      <c r="C235" s="70"/>
      <c r="D235" s="71"/>
      <c r="E235" s="72"/>
      <c r="F235" s="72"/>
      <c r="G235" s="72"/>
      <c r="H235" s="29"/>
      <c r="I235" s="29"/>
      <c r="J235" s="72"/>
      <c r="K235" s="72"/>
      <c r="L235" s="72"/>
      <c r="M235" s="72"/>
      <c r="N235" s="72"/>
      <c r="O235" s="72"/>
      <c r="P235" s="72"/>
    </row>
    <row r="236" spans="1:16">
      <c r="A236" s="70"/>
      <c r="B236" s="70"/>
      <c r="C236" s="70"/>
      <c r="D236" s="71"/>
      <c r="E236" s="72"/>
      <c r="F236" s="72"/>
      <c r="G236" s="72"/>
      <c r="H236" s="29"/>
      <c r="I236" s="29"/>
      <c r="J236" s="72"/>
      <c r="K236" s="72"/>
      <c r="L236" s="72"/>
      <c r="M236" s="72"/>
      <c r="N236" s="72"/>
      <c r="O236" s="72"/>
      <c r="P236" s="72"/>
    </row>
    <row r="237" spans="1:16">
      <c r="A237" s="70"/>
      <c r="B237" s="70"/>
      <c r="C237" s="70"/>
      <c r="D237" s="71"/>
      <c r="E237" s="72"/>
      <c r="F237" s="72"/>
      <c r="G237" s="72"/>
      <c r="H237" s="29"/>
      <c r="I237" s="29"/>
      <c r="J237" s="72"/>
      <c r="K237" s="72"/>
      <c r="L237" s="72"/>
      <c r="M237" s="72"/>
      <c r="N237" s="72"/>
      <c r="O237" s="72"/>
      <c r="P237" s="72"/>
    </row>
    <row r="238" spans="1:16">
      <c r="A238" s="70"/>
      <c r="B238" s="70"/>
      <c r="C238" s="70"/>
      <c r="D238" s="71"/>
      <c r="E238" s="72"/>
      <c r="F238" s="72"/>
      <c r="G238" s="72"/>
      <c r="H238" s="29"/>
      <c r="I238" s="29"/>
      <c r="J238" s="72"/>
      <c r="K238" s="72"/>
      <c r="L238" s="72"/>
      <c r="M238" s="72"/>
      <c r="N238" s="72"/>
      <c r="O238" s="72"/>
      <c r="P238" s="72"/>
    </row>
    <row r="239" spans="1:16">
      <c r="A239" s="70"/>
      <c r="B239" s="70"/>
      <c r="C239" s="70"/>
      <c r="D239" s="71"/>
      <c r="E239" s="72"/>
      <c r="F239" s="72"/>
      <c r="G239" s="72"/>
      <c r="H239" s="29"/>
      <c r="I239" s="29"/>
      <c r="J239" s="72"/>
      <c r="K239" s="72"/>
      <c r="L239" s="72"/>
      <c r="M239" s="72"/>
      <c r="N239" s="72"/>
      <c r="O239" s="72"/>
      <c r="P239" s="72"/>
    </row>
    <row r="240" spans="1:16">
      <c r="A240" s="70"/>
      <c r="B240" s="70"/>
      <c r="C240" s="70"/>
      <c r="D240" s="71"/>
      <c r="E240" s="72"/>
      <c r="F240" s="72"/>
      <c r="G240" s="72"/>
      <c r="H240" s="29"/>
      <c r="I240" s="29"/>
      <c r="J240" s="72"/>
      <c r="K240" s="72"/>
      <c r="L240" s="72"/>
      <c r="M240" s="72"/>
      <c r="N240" s="72"/>
      <c r="O240" s="72"/>
      <c r="P240" s="72"/>
    </row>
    <row r="241" spans="1:16">
      <c r="A241" s="70"/>
      <c r="B241" s="70"/>
      <c r="C241" s="70"/>
      <c r="D241" s="71"/>
      <c r="E241" s="72"/>
      <c r="F241" s="72"/>
      <c r="G241" s="72"/>
      <c r="H241" s="29"/>
      <c r="I241" s="29"/>
      <c r="J241" s="72"/>
      <c r="K241" s="72"/>
      <c r="L241" s="72"/>
      <c r="M241" s="72"/>
      <c r="N241" s="72"/>
      <c r="O241" s="72"/>
      <c r="P241" s="72"/>
    </row>
    <row r="242" spans="1:16">
      <c r="A242" s="70"/>
      <c r="B242" s="70"/>
      <c r="C242" s="70"/>
      <c r="D242" s="71"/>
      <c r="E242" s="72"/>
      <c r="F242" s="72"/>
      <c r="G242" s="72"/>
      <c r="H242" s="29"/>
      <c r="I242" s="29"/>
      <c r="J242" s="72"/>
      <c r="K242" s="72"/>
      <c r="L242" s="72"/>
      <c r="M242" s="72"/>
      <c r="N242" s="72"/>
      <c r="O242" s="72"/>
      <c r="P242" s="72"/>
    </row>
    <row r="243" spans="1:16">
      <c r="A243" s="70"/>
      <c r="B243" s="70"/>
      <c r="C243" s="70"/>
      <c r="D243" s="71"/>
      <c r="E243" s="72"/>
      <c r="F243" s="72"/>
      <c r="G243" s="72"/>
      <c r="H243" s="29"/>
      <c r="I243" s="29"/>
      <c r="J243" s="72"/>
      <c r="K243" s="72"/>
      <c r="L243" s="72"/>
      <c r="M243" s="72"/>
      <c r="N243" s="72"/>
      <c r="O243" s="72"/>
      <c r="P243" s="72"/>
    </row>
    <row r="244" spans="1:16">
      <c r="A244" s="70"/>
      <c r="B244" s="70"/>
      <c r="C244" s="70"/>
      <c r="D244" s="71"/>
      <c r="E244" s="72"/>
      <c r="F244" s="72"/>
      <c r="G244" s="72"/>
      <c r="H244" s="29"/>
      <c r="I244" s="29"/>
      <c r="J244" s="72"/>
      <c r="K244" s="72"/>
      <c r="L244" s="72"/>
      <c r="M244" s="72"/>
      <c r="N244" s="72"/>
      <c r="O244" s="72"/>
      <c r="P244" s="72"/>
    </row>
    <row r="245" spans="1:16">
      <c r="A245" s="70"/>
      <c r="B245" s="70"/>
      <c r="C245" s="70"/>
      <c r="D245" s="71"/>
      <c r="E245" s="72"/>
      <c r="F245" s="72"/>
      <c r="G245" s="72"/>
      <c r="H245" s="29"/>
      <c r="I245" s="29"/>
      <c r="J245" s="72"/>
      <c r="K245" s="72"/>
      <c r="L245" s="72"/>
      <c r="M245" s="72"/>
      <c r="N245" s="72"/>
      <c r="O245" s="72"/>
      <c r="P245" s="72"/>
    </row>
    <row r="246" spans="1:16">
      <c r="A246" s="70"/>
      <c r="B246" s="70"/>
      <c r="C246" s="70"/>
      <c r="D246" s="71"/>
      <c r="E246" s="72"/>
      <c r="F246" s="72"/>
      <c r="G246" s="72"/>
      <c r="H246" s="29"/>
      <c r="I246" s="29"/>
      <c r="J246" s="72"/>
      <c r="K246" s="72"/>
      <c r="L246" s="72"/>
      <c r="M246" s="72"/>
      <c r="N246" s="72"/>
      <c r="O246" s="72"/>
      <c r="P246" s="72"/>
    </row>
    <row r="247" spans="1:16">
      <c r="A247" s="70"/>
      <c r="B247" s="70"/>
      <c r="C247" s="70"/>
      <c r="D247" s="71"/>
      <c r="E247" s="72"/>
      <c r="F247" s="72"/>
      <c r="G247" s="72"/>
      <c r="H247" s="29"/>
      <c r="I247" s="29"/>
      <c r="J247" s="72"/>
      <c r="K247" s="72"/>
      <c r="L247" s="72"/>
      <c r="M247" s="72"/>
      <c r="N247" s="72"/>
      <c r="O247" s="72"/>
      <c r="P247" s="72"/>
    </row>
    <row r="248" spans="1:16">
      <c r="A248" s="70"/>
      <c r="B248" s="70"/>
      <c r="C248" s="70"/>
      <c r="D248" s="71"/>
      <c r="E248" s="72"/>
      <c r="F248" s="72"/>
      <c r="G248" s="72"/>
      <c r="H248" s="29"/>
      <c r="I248" s="29"/>
      <c r="J248" s="72"/>
      <c r="K248" s="72"/>
      <c r="L248" s="72"/>
      <c r="M248" s="72"/>
      <c r="N248" s="72"/>
      <c r="O248" s="72"/>
      <c r="P248" s="72"/>
    </row>
    <row r="249" spans="1:16">
      <c r="A249" s="70"/>
      <c r="B249" s="70"/>
      <c r="C249" s="70"/>
      <c r="D249" s="71"/>
      <c r="E249" s="72"/>
      <c r="F249" s="72"/>
      <c r="G249" s="72"/>
      <c r="H249" s="29"/>
      <c r="I249" s="29"/>
      <c r="J249" s="72"/>
      <c r="K249" s="72"/>
      <c r="L249" s="72"/>
      <c r="M249" s="72"/>
      <c r="N249" s="72"/>
      <c r="O249" s="72"/>
      <c r="P249" s="72"/>
    </row>
    <row r="250" spans="1:16">
      <c r="A250" s="70"/>
      <c r="B250" s="70"/>
      <c r="C250" s="70"/>
      <c r="D250" s="71"/>
      <c r="E250" s="72"/>
      <c r="F250" s="72"/>
      <c r="G250" s="72"/>
      <c r="H250" s="29"/>
      <c r="I250" s="29"/>
      <c r="J250" s="72"/>
      <c r="K250" s="72"/>
      <c r="L250" s="72"/>
      <c r="M250" s="72"/>
      <c r="N250" s="72"/>
      <c r="O250" s="72"/>
      <c r="P250" s="72"/>
    </row>
    <row r="251" spans="1:16">
      <c r="A251" s="70"/>
      <c r="B251" s="70"/>
      <c r="C251" s="70"/>
      <c r="D251" s="71"/>
      <c r="E251" s="72"/>
      <c r="F251" s="72"/>
      <c r="G251" s="72"/>
      <c r="H251" s="29"/>
      <c r="I251" s="29"/>
      <c r="J251" s="72"/>
      <c r="K251" s="72"/>
      <c r="L251" s="72"/>
      <c r="M251" s="72"/>
      <c r="N251" s="72"/>
      <c r="O251" s="72"/>
      <c r="P251" s="72"/>
    </row>
    <row r="252" spans="1:16">
      <c r="A252" s="70"/>
      <c r="B252" s="70"/>
      <c r="C252" s="70"/>
      <c r="D252" s="71"/>
      <c r="E252" s="72"/>
      <c r="F252" s="72"/>
      <c r="G252" s="72"/>
      <c r="H252" s="29"/>
      <c r="I252" s="29"/>
      <c r="J252" s="72"/>
      <c r="K252" s="72"/>
      <c r="L252" s="72"/>
      <c r="M252" s="72"/>
      <c r="N252" s="72"/>
      <c r="O252" s="72"/>
      <c r="P252" s="72"/>
    </row>
    <row r="253" spans="1:16">
      <c r="A253" s="70"/>
      <c r="B253" s="70"/>
      <c r="C253" s="70"/>
      <c r="D253" s="71"/>
      <c r="E253" s="72"/>
      <c r="F253" s="72"/>
      <c r="G253" s="72"/>
      <c r="H253" s="29"/>
      <c r="I253" s="29"/>
      <c r="J253" s="72"/>
      <c r="K253" s="72"/>
      <c r="L253" s="72"/>
      <c r="M253" s="72"/>
      <c r="N253" s="72"/>
      <c r="O253" s="72"/>
      <c r="P253" s="72"/>
    </row>
    <row r="254" spans="1:16">
      <c r="A254" s="70"/>
      <c r="B254" s="70"/>
      <c r="C254" s="70"/>
      <c r="D254" s="71"/>
      <c r="E254" s="72"/>
      <c r="F254" s="72"/>
      <c r="G254" s="72"/>
      <c r="H254" s="29"/>
      <c r="I254" s="29"/>
      <c r="J254" s="72"/>
      <c r="K254" s="72"/>
      <c r="L254" s="72"/>
      <c r="M254" s="72"/>
      <c r="N254" s="72"/>
      <c r="O254" s="72"/>
      <c r="P254" s="72"/>
    </row>
    <row r="255" spans="1:16">
      <c r="A255" s="70"/>
      <c r="B255" s="70"/>
      <c r="C255" s="70"/>
      <c r="D255" s="71"/>
      <c r="E255" s="72"/>
      <c r="F255" s="72"/>
      <c r="G255" s="72"/>
      <c r="H255" s="29"/>
      <c r="I255" s="29"/>
      <c r="J255" s="72"/>
      <c r="K255" s="72"/>
      <c r="L255" s="72"/>
      <c r="M255" s="72"/>
      <c r="N255" s="72"/>
      <c r="O255" s="72"/>
      <c r="P255" s="72"/>
    </row>
    <row r="256" spans="1:16">
      <c r="A256" s="70"/>
      <c r="B256" s="70"/>
      <c r="C256" s="70"/>
      <c r="D256" s="71"/>
      <c r="E256" s="72"/>
      <c r="F256" s="72"/>
      <c r="G256" s="72"/>
      <c r="H256" s="29"/>
      <c r="I256" s="29"/>
      <c r="J256" s="72"/>
      <c r="K256" s="72"/>
      <c r="L256" s="72"/>
      <c r="M256" s="72"/>
      <c r="N256" s="72"/>
      <c r="O256" s="72"/>
      <c r="P256" s="72"/>
    </row>
    <row r="257" spans="1:16">
      <c r="A257" s="70"/>
      <c r="B257" s="70"/>
      <c r="C257" s="70"/>
      <c r="D257" s="71"/>
      <c r="E257" s="72"/>
      <c r="F257" s="72"/>
      <c r="G257" s="72"/>
      <c r="H257" s="29"/>
      <c r="I257" s="29"/>
      <c r="J257" s="72"/>
      <c r="K257" s="72"/>
      <c r="L257" s="72"/>
      <c r="M257" s="72"/>
      <c r="N257" s="72"/>
      <c r="O257" s="72"/>
      <c r="P257" s="72"/>
    </row>
    <row r="258" spans="1:16">
      <c r="A258" s="70"/>
      <c r="B258" s="70"/>
      <c r="C258" s="70"/>
      <c r="D258" s="71"/>
      <c r="E258" s="72"/>
      <c r="F258" s="72"/>
      <c r="G258" s="72"/>
      <c r="H258" s="29"/>
      <c r="I258" s="29"/>
      <c r="J258" s="72"/>
      <c r="K258" s="72"/>
      <c r="L258" s="72"/>
      <c r="M258" s="72"/>
      <c r="N258" s="72"/>
      <c r="O258" s="72"/>
      <c r="P258" s="72"/>
    </row>
    <row r="259" spans="1:16">
      <c r="A259" s="70"/>
      <c r="B259" s="70"/>
      <c r="C259" s="70"/>
      <c r="D259" s="71"/>
      <c r="E259" s="72"/>
      <c r="F259" s="72"/>
      <c r="G259" s="72"/>
      <c r="H259" s="29"/>
      <c r="I259" s="29"/>
      <c r="J259" s="72"/>
      <c r="K259" s="72"/>
      <c r="L259" s="72"/>
      <c r="M259" s="72"/>
      <c r="N259" s="72"/>
      <c r="O259" s="72"/>
      <c r="P259" s="72"/>
    </row>
    <row r="260" spans="1:16">
      <c r="A260" s="70"/>
      <c r="B260" s="70"/>
      <c r="C260" s="70"/>
      <c r="D260" s="71"/>
      <c r="E260" s="72"/>
      <c r="F260" s="72"/>
      <c r="G260" s="72"/>
      <c r="H260" s="29"/>
      <c r="I260" s="29"/>
      <c r="J260" s="72"/>
      <c r="K260" s="72"/>
      <c r="L260" s="72"/>
      <c r="M260" s="72"/>
      <c r="N260" s="72"/>
      <c r="O260" s="72"/>
      <c r="P260" s="72"/>
    </row>
    <row r="261" spans="1:16">
      <c r="A261" s="70"/>
      <c r="B261" s="70"/>
      <c r="C261" s="70"/>
      <c r="D261" s="71"/>
      <c r="E261" s="72"/>
      <c r="F261" s="72"/>
      <c r="G261" s="72"/>
      <c r="H261" s="29"/>
      <c r="I261" s="29"/>
      <c r="J261" s="72"/>
      <c r="K261" s="72"/>
      <c r="L261" s="72"/>
      <c r="M261" s="72"/>
      <c r="N261" s="72"/>
      <c r="O261" s="72"/>
      <c r="P261" s="72"/>
    </row>
    <row r="262" spans="1:16">
      <c r="A262" s="70"/>
      <c r="B262" s="70"/>
      <c r="C262" s="70"/>
      <c r="D262" s="71"/>
      <c r="E262" s="72"/>
      <c r="F262" s="72"/>
      <c r="G262" s="72"/>
      <c r="H262" s="29"/>
      <c r="I262" s="29"/>
      <c r="J262" s="72"/>
      <c r="K262" s="72"/>
      <c r="L262" s="72"/>
      <c r="M262" s="72"/>
      <c r="N262" s="72"/>
      <c r="O262" s="72"/>
      <c r="P262" s="72"/>
    </row>
    <row r="263" spans="1:16">
      <c r="A263" s="70"/>
      <c r="B263" s="70"/>
      <c r="C263" s="70"/>
      <c r="D263" s="71"/>
      <c r="E263" s="72"/>
      <c r="F263" s="72"/>
      <c r="G263" s="72"/>
      <c r="H263" s="29"/>
      <c r="I263" s="29"/>
      <c r="J263" s="72"/>
      <c r="K263" s="72"/>
      <c r="L263" s="72"/>
      <c r="M263" s="72"/>
      <c r="N263" s="72"/>
      <c r="O263" s="72"/>
      <c r="P263" s="72"/>
    </row>
    <row r="264" spans="1:16">
      <c r="A264" s="70"/>
      <c r="B264" s="70"/>
      <c r="C264" s="70"/>
      <c r="D264" s="71"/>
      <c r="E264" s="72"/>
      <c r="F264" s="72"/>
      <c r="G264" s="72"/>
      <c r="H264" s="29"/>
      <c r="I264" s="29"/>
      <c r="J264" s="72"/>
      <c r="K264" s="72"/>
      <c r="L264" s="72"/>
      <c r="M264" s="72"/>
      <c r="N264" s="72"/>
      <c r="O264" s="72"/>
      <c r="P264" s="72"/>
    </row>
    <row r="265" spans="1:16">
      <c r="A265" s="70"/>
      <c r="B265" s="70"/>
      <c r="C265" s="70"/>
      <c r="D265" s="71"/>
      <c r="E265" s="72"/>
      <c r="F265" s="72"/>
      <c r="G265" s="72"/>
      <c r="H265" s="29"/>
      <c r="I265" s="29"/>
      <c r="J265" s="72"/>
      <c r="K265" s="72"/>
      <c r="L265" s="72"/>
      <c r="M265" s="72"/>
      <c r="N265" s="72"/>
      <c r="O265" s="72"/>
      <c r="P265" s="72"/>
    </row>
    <row r="266" spans="1:16">
      <c r="A266" s="70"/>
      <c r="B266" s="70"/>
      <c r="C266" s="70"/>
      <c r="D266" s="71"/>
      <c r="E266" s="72"/>
      <c r="F266" s="72"/>
      <c r="G266" s="72"/>
      <c r="H266" s="29"/>
      <c r="I266" s="29"/>
      <c r="J266" s="72"/>
      <c r="K266" s="72"/>
      <c r="L266" s="72"/>
      <c r="M266" s="72"/>
      <c r="N266" s="72"/>
      <c r="O266" s="72"/>
      <c r="P266" s="72"/>
    </row>
    <row r="267" spans="1:16">
      <c r="A267" s="70"/>
      <c r="B267" s="70"/>
      <c r="C267" s="70"/>
      <c r="D267" s="71"/>
      <c r="E267" s="72"/>
      <c r="F267" s="72"/>
      <c r="G267" s="72"/>
      <c r="H267" s="29"/>
      <c r="I267" s="29"/>
      <c r="J267" s="72"/>
      <c r="K267" s="72"/>
      <c r="L267" s="72"/>
      <c r="M267" s="72"/>
      <c r="N267" s="72"/>
      <c r="O267" s="72"/>
      <c r="P267" s="72"/>
    </row>
    <row r="268" spans="1:16">
      <c r="A268" s="70"/>
      <c r="B268" s="70"/>
      <c r="C268" s="70"/>
      <c r="D268" s="71"/>
      <c r="E268" s="72"/>
      <c r="F268" s="72"/>
      <c r="G268" s="72"/>
      <c r="H268" s="29"/>
      <c r="I268" s="29"/>
      <c r="J268" s="72"/>
      <c r="K268" s="72"/>
      <c r="L268" s="72"/>
      <c r="M268" s="72"/>
      <c r="N268" s="72"/>
      <c r="O268" s="72"/>
      <c r="P268" s="72"/>
    </row>
    <row r="269" spans="1:16">
      <c r="A269" s="70"/>
      <c r="B269" s="70"/>
      <c r="C269" s="70"/>
      <c r="D269" s="71"/>
      <c r="E269" s="72"/>
      <c r="F269" s="72"/>
      <c r="G269" s="72"/>
      <c r="H269" s="29"/>
      <c r="I269" s="29"/>
      <c r="J269" s="72"/>
      <c r="K269" s="72"/>
      <c r="L269" s="72"/>
      <c r="M269" s="72"/>
      <c r="N269" s="72"/>
      <c r="O269" s="72"/>
      <c r="P269" s="72"/>
    </row>
    <row r="270" spans="1:16">
      <c r="A270" s="70"/>
      <c r="B270" s="70"/>
      <c r="C270" s="70"/>
      <c r="D270" s="71"/>
      <c r="E270" s="72"/>
      <c r="F270" s="72"/>
      <c r="G270" s="72"/>
      <c r="H270" s="29"/>
      <c r="I270" s="29"/>
      <c r="J270" s="72"/>
      <c r="K270" s="72"/>
      <c r="L270" s="72"/>
      <c r="M270" s="72"/>
      <c r="N270" s="72"/>
      <c r="O270" s="72"/>
      <c r="P270" s="72"/>
    </row>
    <row r="271" spans="1:16">
      <c r="A271" s="70"/>
      <c r="B271" s="70"/>
      <c r="C271" s="70"/>
      <c r="D271" s="71"/>
      <c r="E271" s="72"/>
      <c r="F271" s="72"/>
      <c r="G271" s="72"/>
      <c r="H271" s="29"/>
      <c r="I271" s="29"/>
      <c r="J271" s="72"/>
      <c r="K271" s="72"/>
      <c r="L271" s="72"/>
      <c r="M271" s="72"/>
      <c r="N271" s="72"/>
      <c r="O271" s="72"/>
      <c r="P271" s="72"/>
    </row>
    <row r="272" spans="1:16">
      <c r="A272" s="70"/>
      <c r="B272" s="70"/>
      <c r="C272" s="70"/>
      <c r="D272" s="71"/>
      <c r="E272" s="72"/>
      <c r="F272" s="72"/>
      <c r="G272" s="72"/>
      <c r="H272" s="29"/>
      <c r="I272" s="29"/>
      <c r="J272" s="72"/>
      <c r="K272" s="72"/>
      <c r="L272" s="72"/>
      <c r="M272" s="72"/>
      <c r="N272" s="72"/>
      <c r="O272" s="72"/>
      <c r="P272" s="72"/>
    </row>
    <row r="273" spans="1:16">
      <c r="A273" s="70"/>
      <c r="B273" s="70"/>
      <c r="C273" s="70"/>
      <c r="D273" s="71"/>
      <c r="E273" s="72"/>
      <c r="F273" s="72"/>
      <c r="G273" s="72"/>
      <c r="H273" s="29"/>
      <c r="I273" s="29"/>
      <c r="J273" s="72"/>
      <c r="K273" s="72"/>
      <c r="L273" s="72"/>
      <c r="M273" s="72"/>
      <c r="N273" s="72"/>
      <c r="O273" s="72"/>
      <c r="P273" s="72"/>
    </row>
    <row r="274" spans="1:16">
      <c r="A274" s="70"/>
      <c r="B274" s="70"/>
      <c r="C274" s="70"/>
      <c r="D274" s="71"/>
      <c r="E274" s="72"/>
      <c r="F274" s="72"/>
      <c r="G274" s="72"/>
      <c r="H274" s="29"/>
      <c r="I274" s="29"/>
      <c r="J274" s="72"/>
      <c r="K274" s="72"/>
      <c r="L274" s="72"/>
      <c r="M274" s="72"/>
      <c r="N274" s="72"/>
      <c r="O274" s="72"/>
      <c r="P274" s="72"/>
    </row>
    <row r="275" spans="1:16">
      <c r="A275" s="70"/>
      <c r="B275" s="70"/>
      <c r="C275" s="70"/>
      <c r="D275" s="71"/>
      <c r="E275" s="72"/>
      <c r="F275" s="72"/>
      <c r="G275" s="72"/>
      <c r="H275" s="29"/>
      <c r="I275" s="29"/>
      <c r="J275" s="72"/>
      <c r="K275" s="72"/>
      <c r="L275" s="72"/>
      <c r="M275" s="72"/>
      <c r="N275" s="72"/>
      <c r="O275" s="72"/>
      <c r="P275" s="72"/>
    </row>
    <row r="276" spans="1:16">
      <c r="A276" s="70"/>
      <c r="B276" s="70"/>
      <c r="C276" s="70"/>
      <c r="D276" s="71"/>
      <c r="E276" s="72"/>
      <c r="F276" s="72"/>
      <c r="G276" s="72"/>
      <c r="H276" s="29"/>
      <c r="I276" s="29"/>
      <c r="J276" s="72"/>
      <c r="K276" s="72"/>
      <c r="L276" s="72"/>
      <c r="M276" s="72"/>
      <c r="N276" s="72"/>
      <c r="O276" s="72"/>
      <c r="P276" s="72"/>
    </row>
    <row r="277" spans="1:16">
      <c r="A277" s="70"/>
      <c r="B277" s="70"/>
      <c r="C277" s="70"/>
      <c r="D277" s="71"/>
      <c r="E277" s="72"/>
      <c r="F277" s="72"/>
      <c r="G277" s="72"/>
      <c r="H277" s="29"/>
      <c r="I277" s="29"/>
      <c r="J277" s="72"/>
      <c r="K277" s="72"/>
      <c r="L277" s="72"/>
      <c r="M277" s="72"/>
      <c r="N277" s="72"/>
      <c r="O277" s="72"/>
      <c r="P277" s="72"/>
    </row>
    <row r="278" spans="1:16">
      <c r="A278" s="70"/>
      <c r="B278" s="70"/>
      <c r="C278" s="70"/>
      <c r="D278" s="71"/>
      <c r="E278" s="72"/>
      <c r="F278" s="72"/>
      <c r="G278" s="72"/>
      <c r="H278" s="29"/>
      <c r="I278" s="29"/>
      <c r="J278" s="72"/>
      <c r="K278" s="72"/>
      <c r="L278" s="72"/>
      <c r="M278" s="72"/>
      <c r="N278" s="72"/>
      <c r="O278" s="72"/>
      <c r="P278" s="72"/>
    </row>
    <row r="279" spans="1:16">
      <c r="A279" s="70"/>
      <c r="B279" s="70"/>
      <c r="C279" s="70"/>
      <c r="D279" s="71"/>
      <c r="E279" s="72"/>
      <c r="F279" s="72"/>
      <c r="G279" s="72"/>
      <c r="H279" s="29"/>
      <c r="I279" s="29"/>
      <c r="J279" s="72"/>
      <c r="K279" s="72"/>
      <c r="L279" s="72"/>
      <c r="M279" s="72"/>
      <c r="N279" s="72"/>
      <c r="O279" s="72"/>
      <c r="P279" s="72"/>
    </row>
    <row r="280" spans="1:16">
      <c r="A280" s="70"/>
      <c r="B280" s="70"/>
      <c r="C280" s="70"/>
      <c r="D280" s="71"/>
      <c r="E280" s="72"/>
      <c r="F280" s="72"/>
      <c r="G280" s="72"/>
      <c r="H280" s="29"/>
      <c r="I280" s="29"/>
      <c r="J280" s="72"/>
      <c r="K280" s="72"/>
      <c r="L280" s="72"/>
      <c r="M280" s="72"/>
      <c r="N280" s="72"/>
      <c r="O280" s="72"/>
      <c r="P280" s="72"/>
    </row>
    <row r="281" spans="1:16">
      <c r="A281" s="70"/>
      <c r="B281" s="70"/>
      <c r="C281" s="70"/>
      <c r="D281" s="71"/>
      <c r="E281" s="72"/>
      <c r="F281" s="72"/>
      <c r="G281" s="72"/>
      <c r="H281" s="29"/>
      <c r="I281" s="29"/>
      <c r="J281" s="72"/>
      <c r="K281" s="72"/>
      <c r="L281" s="72"/>
      <c r="M281" s="72"/>
      <c r="N281" s="72"/>
      <c r="O281" s="72"/>
      <c r="P281" s="72"/>
    </row>
    <row r="282" spans="1:16">
      <c r="A282" s="70"/>
      <c r="B282" s="70"/>
      <c r="C282" s="70"/>
      <c r="D282" s="71"/>
      <c r="E282" s="72"/>
      <c r="F282" s="72"/>
      <c r="G282" s="72"/>
      <c r="H282" s="29"/>
      <c r="I282" s="29"/>
      <c r="J282" s="72"/>
      <c r="K282" s="72"/>
      <c r="L282" s="72"/>
      <c r="M282" s="72"/>
      <c r="N282" s="72"/>
      <c r="O282" s="72"/>
      <c r="P282" s="72"/>
    </row>
    <row r="283" spans="1:16">
      <c r="A283" s="70"/>
      <c r="B283" s="70"/>
      <c r="C283" s="70"/>
      <c r="D283" s="71"/>
      <c r="E283" s="72"/>
      <c r="F283" s="72"/>
      <c r="G283" s="72"/>
      <c r="H283" s="29"/>
      <c r="I283" s="29"/>
      <c r="J283" s="72"/>
      <c r="K283" s="72"/>
      <c r="L283" s="72"/>
      <c r="M283" s="72"/>
      <c r="N283" s="72"/>
      <c r="O283" s="72"/>
      <c r="P283" s="72"/>
    </row>
    <row r="284" spans="1:16">
      <c r="A284" s="70"/>
      <c r="B284" s="70"/>
      <c r="C284" s="70"/>
      <c r="D284" s="71"/>
      <c r="E284" s="72"/>
      <c r="F284" s="72"/>
      <c r="G284" s="72"/>
      <c r="H284" s="29"/>
      <c r="I284" s="29"/>
      <c r="J284" s="72"/>
      <c r="K284" s="72"/>
      <c r="L284" s="72"/>
      <c r="M284" s="72"/>
      <c r="N284" s="72"/>
      <c r="O284" s="72"/>
      <c r="P284" s="72"/>
    </row>
    <row r="285" spans="1:16">
      <c r="A285" s="70"/>
      <c r="B285" s="70"/>
      <c r="C285" s="70"/>
      <c r="D285" s="71"/>
      <c r="E285" s="72"/>
      <c r="F285" s="72"/>
      <c r="G285" s="72"/>
      <c r="H285" s="29"/>
      <c r="I285" s="29"/>
      <c r="J285" s="72"/>
      <c r="K285" s="72"/>
      <c r="L285" s="72"/>
      <c r="M285" s="72"/>
      <c r="N285" s="72"/>
      <c r="O285" s="72"/>
      <c r="P285" s="72"/>
    </row>
    <row r="286" spans="1:16">
      <c r="A286" s="70"/>
      <c r="B286" s="70"/>
      <c r="C286" s="70"/>
      <c r="D286" s="71"/>
      <c r="E286" s="72"/>
      <c r="F286" s="72"/>
      <c r="G286" s="72"/>
      <c r="H286" s="29"/>
      <c r="I286" s="29"/>
      <c r="J286" s="72"/>
      <c r="K286" s="72"/>
      <c r="L286" s="72"/>
      <c r="M286" s="72"/>
      <c r="N286" s="72"/>
      <c r="O286" s="72"/>
      <c r="P286" s="72"/>
    </row>
    <row r="287" spans="1:16">
      <c r="A287" s="70"/>
      <c r="B287" s="70"/>
      <c r="C287" s="70"/>
      <c r="D287" s="71"/>
      <c r="E287" s="72"/>
      <c r="F287" s="72"/>
      <c r="G287" s="72"/>
      <c r="H287" s="29"/>
      <c r="I287" s="29"/>
      <c r="J287" s="72"/>
      <c r="K287" s="72"/>
      <c r="L287" s="72"/>
      <c r="M287" s="72"/>
      <c r="N287" s="72"/>
      <c r="O287" s="72"/>
      <c r="P287" s="72"/>
    </row>
    <row r="288" spans="1:16">
      <c r="A288" s="70"/>
      <c r="B288" s="70"/>
      <c r="C288" s="70"/>
      <c r="D288" s="71"/>
      <c r="E288" s="72"/>
      <c r="F288" s="72"/>
      <c r="G288" s="72"/>
      <c r="H288" s="29"/>
      <c r="I288" s="29"/>
      <c r="J288" s="72"/>
      <c r="K288" s="72"/>
      <c r="L288" s="72"/>
      <c r="M288" s="72"/>
      <c r="N288" s="72"/>
      <c r="O288" s="72"/>
      <c r="P288" s="72"/>
    </row>
    <row r="289" spans="1:16">
      <c r="A289" s="70"/>
      <c r="B289" s="70"/>
      <c r="C289" s="70"/>
      <c r="D289" s="71"/>
      <c r="E289" s="72"/>
      <c r="F289" s="72"/>
      <c r="G289" s="72"/>
      <c r="H289" s="29"/>
      <c r="I289" s="29"/>
      <c r="J289" s="72"/>
      <c r="K289" s="72"/>
      <c r="L289" s="72"/>
      <c r="M289" s="72"/>
      <c r="N289" s="72"/>
      <c r="O289" s="72"/>
      <c r="P289" s="72"/>
    </row>
    <row r="290" spans="1:16">
      <c r="A290" s="70"/>
      <c r="B290" s="70"/>
      <c r="C290" s="70"/>
      <c r="D290" s="71"/>
      <c r="E290" s="72"/>
      <c r="F290" s="72"/>
      <c r="G290" s="72"/>
      <c r="H290" s="29"/>
      <c r="I290" s="29"/>
      <c r="J290" s="72"/>
      <c r="K290" s="72"/>
      <c r="L290" s="72"/>
      <c r="M290" s="72"/>
      <c r="N290" s="72"/>
      <c r="O290" s="72"/>
      <c r="P290" s="72"/>
    </row>
    <row r="291" spans="1:16">
      <c r="A291" s="70"/>
      <c r="B291" s="70"/>
      <c r="C291" s="70"/>
      <c r="D291" s="71"/>
      <c r="E291" s="72"/>
      <c r="F291" s="72"/>
      <c r="G291" s="72"/>
      <c r="H291" s="29"/>
      <c r="I291" s="29"/>
      <c r="J291" s="72"/>
      <c r="K291" s="72"/>
      <c r="L291" s="72"/>
      <c r="M291" s="72"/>
      <c r="N291" s="72"/>
      <c r="O291" s="72"/>
      <c r="P291" s="72"/>
    </row>
    <row r="292" spans="1:16">
      <c r="A292" s="70"/>
      <c r="B292" s="70"/>
      <c r="C292" s="70"/>
      <c r="D292" s="71"/>
      <c r="E292" s="72"/>
      <c r="F292" s="72"/>
      <c r="G292" s="72"/>
      <c r="H292" s="29"/>
      <c r="I292" s="29"/>
      <c r="J292" s="72"/>
      <c r="K292" s="72"/>
      <c r="L292" s="72"/>
      <c r="M292" s="72"/>
      <c r="N292" s="72"/>
      <c r="O292" s="72"/>
      <c r="P292" s="72"/>
    </row>
    <row r="293" spans="1:16">
      <c r="A293" s="70"/>
      <c r="B293" s="70"/>
      <c r="C293" s="70"/>
      <c r="D293" s="71"/>
      <c r="E293" s="72"/>
      <c r="F293" s="72"/>
      <c r="G293" s="72"/>
      <c r="H293" s="29"/>
      <c r="I293" s="29"/>
      <c r="J293" s="72"/>
      <c r="K293" s="72"/>
      <c r="L293" s="72"/>
      <c r="M293" s="72"/>
      <c r="N293" s="72"/>
      <c r="O293" s="72"/>
      <c r="P293" s="72"/>
    </row>
    <row r="294" spans="1:16">
      <c r="A294" s="70"/>
      <c r="B294" s="70"/>
      <c r="C294" s="70"/>
      <c r="D294" s="71"/>
      <c r="E294" s="72"/>
      <c r="F294" s="72"/>
      <c r="G294" s="72"/>
      <c r="H294" s="29"/>
      <c r="I294" s="29"/>
      <c r="J294" s="72"/>
      <c r="K294" s="72"/>
      <c r="L294" s="72"/>
      <c r="M294" s="72"/>
      <c r="N294" s="72"/>
      <c r="O294" s="72"/>
      <c r="P294" s="72"/>
    </row>
    <row r="295" spans="1:16">
      <c r="A295" s="70"/>
      <c r="B295" s="70"/>
      <c r="C295" s="70"/>
      <c r="D295" s="71"/>
      <c r="E295" s="72"/>
      <c r="F295" s="72"/>
      <c r="G295" s="72"/>
      <c r="H295" s="29"/>
      <c r="I295" s="29"/>
      <c r="J295" s="72"/>
      <c r="K295" s="72"/>
      <c r="L295" s="72"/>
      <c r="M295" s="72"/>
      <c r="N295" s="72"/>
      <c r="O295" s="72"/>
      <c r="P295" s="72"/>
    </row>
    <row r="296" spans="1:16">
      <c r="A296" s="70"/>
      <c r="B296" s="70"/>
      <c r="C296" s="70"/>
      <c r="D296" s="71"/>
      <c r="E296" s="72"/>
      <c r="F296" s="72"/>
      <c r="G296" s="72"/>
      <c r="H296" s="29"/>
      <c r="I296" s="29"/>
      <c r="J296" s="72"/>
      <c r="K296" s="72"/>
      <c r="L296" s="72"/>
      <c r="M296" s="72"/>
      <c r="N296" s="72"/>
      <c r="O296" s="72"/>
      <c r="P296" s="72"/>
    </row>
    <row r="297" spans="1:16">
      <c r="A297" s="70"/>
      <c r="B297" s="70"/>
      <c r="C297" s="70"/>
      <c r="D297" s="71"/>
      <c r="E297" s="72"/>
      <c r="F297" s="72"/>
      <c r="G297" s="72"/>
      <c r="H297" s="29"/>
      <c r="I297" s="29"/>
      <c r="J297" s="72"/>
      <c r="K297" s="72"/>
      <c r="L297" s="72"/>
      <c r="M297" s="72"/>
      <c r="N297" s="72"/>
      <c r="O297" s="72"/>
      <c r="P297" s="72"/>
    </row>
    <row r="298" spans="1:16">
      <c r="A298" s="70"/>
      <c r="B298" s="70"/>
      <c r="C298" s="70"/>
      <c r="D298" s="71"/>
      <c r="E298" s="72"/>
      <c r="F298" s="72"/>
      <c r="G298" s="72"/>
      <c r="H298" s="29"/>
      <c r="I298" s="29"/>
      <c r="J298" s="72"/>
      <c r="K298" s="72"/>
      <c r="L298" s="72"/>
      <c r="M298" s="72"/>
      <c r="N298" s="72"/>
      <c r="O298" s="72"/>
      <c r="P298" s="72"/>
    </row>
    <row r="299" spans="1:16">
      <c r="A299" s="70"/>
      <c r="B299" s="70"/>
      <c r="C299" s="70"/>
      <c r="D299" s="71"/>
      <c r="E299" s="72"/>
      <c r="F299" s="72"/>
      <c r="G299" s="72"/>
      <c r="H299" s="29"/>
      <c r="I299" s="29"/>
      <c r="J299" s="72"/>
      <c r="K299" s="72"/>
      <c r="L299" s="72"/>
      <c r="M299" s="72"/>
      <c r="N299" s="72"/>
      <c r="O299" s="72"/>
      <c r="P299" s="72"/>
    </row>
    <row r="300" spans="1:16">
      <c r="A300" s="70"/>
      <c r="B300" s="70"/>
      <c r="C300" s="70"/>
      <c r="D300" s="71"/>
      <c r="E300" s="72"/>
      <c r="F300" s="72"/>
      <c r="G300" s="72"/>
      <c r="H300" s="29"/>
      <c r="I300" s="29"/>
      <c r="J300" s="72"/>
      <c r="K300" s="72"/>
      <c r="L300" s="72"/>
      <c r="M300" s="72"/>
      <c r="N300" s="72"/>
      <c r="O300" s="72"/>
      <c r="P300" s="72"/>
    </row>
    <row r="301" spans="1:16">
      <c r="A301" s="70"/>
      <c r="B301" s="70"/>
      <c r="C301" s="70"/>
      <c r="D301" s="71"/>
      <c r="E301" s="72"/>
      <c r="F301" s="72"/>
      <c r="G301" s="72"/>
      <c r="H301" s="29"/>
      <c r="I301" s="29"/>
      <c r="J301" s="72"/>
      <c r="K301" s="72"/>
      <c r="L301" s="72"/>
      <c r="M301" s="72"/>
      <c r="N301" s="72"/>
      <c r="O301" s="72"/>
      <c r="P301" s="72"/>
    </row>
    <row r="302" spans="1:16">
      <c r="A302" s="70"/>
      <c r="B302" s="70"/>
      <c r="C302" s="70"/>
      <c r="D302" s="71"/>
      <c r="E302" s="72"/>
      <c r="F302" s="72"/>
      <c r="G302" s="72"/>
      <c r="H302" s="29"/>
      <c r="I302" s="29"/>
      <c r="J302" s="72"/>
      <c r="K302" s="72"/>
      <c r="L302" s="72"/>
      <c r="M302" s="72"/>
      <c r="N302" s="72"/>
      <c r="O302" s="72"/>
      <c r="P302" s="72"/>
    </row>
    <row r="303" spans="1:16">
      <c r="A303" s="70"/>
      <c r="B303" s="70"/>
      <c r="C303" s="70"/>
      <c r="D303" s="71"/>
      <c r="E303" s="72"/>
      <c r="F303" s="72"/>
      <c r="G303" s="72"/>
      <c r="H303" s="29"/>
      <c r="I303" s="29"/>
      <c r="J303" s="72"/>
      <c r="K303" s="72"/>
      <c r="L303" s="72"/>
      <c r="M303" s="72"/>
      <c r="N303" s="72"/>
      <c r="O303" s="72"/>
      <c r="P303" s="72"/>
    </row>
    <row r="304" spans="1:16">
      <c r="A304" s="70"/>
      <c r="B304" s="70"/>
      <c r="C304" s="70"/>
      <c r="D304" s="71"/>
      <c r="E304" s="72"/>
      <c r="F304" s="72"/>
      <c r="G304" s="72"/>
      <c r="H304" s="29"/>
      <c r="I304" s="29"/>
      <c r="J304" s="72"/>
      <c r="K304" s="72"/>
      <c r="L304" s="72"/>
      <c r="M304" s="72"/>
      <c r="N304" s="72"/>
      <c r="O304" s="72"/>
      <c r="P304" s="72"/>
    </row>
    <row r="305" spans="1:16">
      <c r="A305" s="70"/>
      <c r="B305" s="70"/>
      <c r="C305" s="70"/>
      <c r="D305" s="71"/>
      <c r="E305" s="72"/>
      <c r="F305" s="72"/>
      <c r="G305" s="72"/>
      <c r="H305" s="29"/>
      <c r="I305" s="29"/>
      <c r="J305" s="72"/>
      <c r="K305" s="72"/>
      <c r="L305" s="72"/>
      <c r="M305" s="72"/>
      <c r="N305" s="72"/>
      <c r="O305" s="72"/>
      <c r="P305" s="72"/>
    </row>
    <row r="306" spans="1:16">
      <c r="A306" s="70"/>
      <c r="B306" s="70"/>
      <c r="C306" s="70"/>
      <c r="D306" s="71"/>
      <c r="E306" s="72"/>
      <c r="F306" s="72"/>
      <c r="G306" s="72"/>
      <c r="H306" s="29"/>
      <c r="I306" s="29"/>
      <c r="J306" s="72"/>
      <c r="K306" s="72"/>
      <c r="L306" s="72"/>
      <c r="M306" s="72"/>
      <c r="N306" s="72"/>
      <c r="O306" s="72"/>
      <c r="P306" s="72"/>
    </row>
    <row r="307" spans="1:16">
      <c r="A307" s="70"/>
      <c r="B307" s="70"/>
      <c r="C307" s="70"/>
      <c r="D307" s="71"/>
      <c r="E307" s="72"/>
      <c r="F307" s="72"/>
      <c r="G307" s="72"/>
      <c r="H307" s="29"/>
      <c r="I307" s="29"/>
      <c r="J307" s="72"/>
      <c r="K307" s="72"/>
      <c r="L307" s="72"/>
      <c r="M307" s="72"/>
      <c r="N307" s="72"/>
      <c r="O307" s="72"/>
      <c r="P307" s="72"/>
    </row>
    <row r="308" spans="1:16">
      <c r="A308" s="70"/>
      <c r="B308" s="70"/>
      <c r="C308" s="70"/>
      <c r="D308" s="71"/>
      <c r="E308" s="72"/>
      <c r="F308" s="72"/>
      <c r="G308" s="72"/>
      <c r="H308" s="29"/>
      <c r="I308" s="29"/>
      <c r="J308" s="72"/>
      <c r="K308" s="72"/>
      <c r="L308" s="72"/>
      <c r="M308" s="72"/>
      <c r="N308" s="72"/>
      <c r="O308" s="72"/>
      <c r="P308" s="72"/>
    </row>
    <row r="309" spans="1:16">
      <c r="A309" s="70"/>
      <c r="B309" s="70"/>
      <c r="C309" s="70"/>
      <c r="D309" s="71"/>
      <c r="E309" s="72"/>
      <c r="F309" s="72"/>
      <c r="G309" s="72"/>
      <c r="H309" s="29"/>
      <c r="I309" s="29"/>
      <c r="J309" s="72"/>
      <c r="K309" s="72"/>
      <c r="L309" s="72"/>
      <c r="M309" s="72"/>
      <c r="N309" s="72"/>
      <c r="O309" s="72"/>
      <c r="P309" s="72"/>
    </row>
    <row r="310" spans="1:16">
      <c r="A310" s="70"/>
      <c r="B310" s="70"/>
      <c r="C310" s="70"/>
      <c r="D310" s="71"/>
      <c r="E310" s="72"/>
      <c r="F310" s="72"/>
      <c r="G310" s="72"/>
      <c r="H310" s="29"/>
      <c r="I310" s="29"/>
      <c r="J310" s="72"/>
      <c r="K310" s="72"/>
      <c r="L310" s="72"/>
      <c r="M310" s="72"/>
      <c r="N310" s="72"/>
      <c r="O310" s="72"/>
      <c r="P310" s="72"/>
    </row>
    <row r="311" spans="1:16">
      <c r="A311" s="70"/>
      <c r="B311" s="70"/>
      <c r="C311" s="70"/>
      <c r="D311" s="71"/>
      <c r="E311" s="72"/>
      <c r="F311" s="72"/>
      <c r="G311" s="72"/>
      <c r="H311" s="29"/>
      <c r="I311" s="29"/>
      <c r="J311" s="72"/>
      <c r="K311" s="72"/>
      <c r="L311" s="72"/>
      <c r="M311" s="72"/>
      <c r="N311" s="72"/>
      <c r="O311" s="72"/>
      <c r="P311" s="72"/>
    </row>
    <row r="312" spans="1:16">
      <c r="A312" s="70"/>
      <c r="B312" s="70"/>
      <c r="C312" s="70"/>
      <c r="D312" s="71"/>
      <c r="E312" s="72"/>
      <c r="F312" s="72"/>
      <c r="G312" s="72"/>
      <c r="H312" s="29"/>
      <c r="I312" s="29"/>
      <c r="J312" s="72"/>
      <c r="K312" s="72"/>
      <c r="L312" s="72"/>
      <c r="M312" s="72"/>
      <c r="N312" s="72"/>
      <c r="O312" s="72"/>
      <c r="P312" s="72"/>
    </row>
    <row r="313" spans="1:16">
      <c r="A313" s="70"/>
      <c r="B313" s="70"/>
      <c r="C313" s="70"/>
      <c r="D313" s="71"/>
      <c r="E313" s="72"/>
      <c r="F313" s="72"/>
      <c r="G313" s="72"/>
      <c r="H313" s="29"/>
      <c r="I313" s="29"/>
      <c r="J313" s="72"/>
      <c r="K313" s="72"/>
      <c r="L313" s="72"/>
      <c r="M313" s="72"/>
      <c r="N313" s="72"/>
      <c r="O313" s="72"/>
      <c r="P313" s="72"/>
    </row>
    <row r="314" spans="1:16">
      <c r="A314" s="70"/>
      <c r="B314" s="70"/>
      <c r="C314" s="70"/>
      <c r="D314" s="71"/>
      <c r="E314" s="72"/>
      <c r="F314" s="72"/>
      <c r="G314" s="72"/>
      <c r="H314" s="29"/>
      <c r="I314" s="29"/>
      <c r="J314" s="72"/>
      <c r="K314" s="72"/>
      <c r="L314" s="72"/>
      <c r="M314" s="72"/>
      <c r="N314" s="72"/>
      <c r="O314" s="72"/>
      <c r="P314" s="72"/>
    </row>
    <row r="315" spans="1:16">
      <c r="A315" s="70"/>
      <c r="B315" s="70"/>
      <c r="C315" s="70"/>
      <c r="D315" s="71"/>
      <c r="E315" s="72"/>
      <c r="F315" s="72"/>
      <c r="G315" s="72"/>
      <c r="H315" s="29"/>
      <c r="I315" s="29"/>
      <c r="J315" s="72"/>
      <c r="K315" s="72"/>
      <c r="L315" s="72"/>
      <c r="M315" s="72"/>
      <c r="N315" s="72"/>
      <c r="O315" s="72"/>
      <c r="P315" s="72"/>
    </row>
    <row r="316" spans="1:16">
      <c r="A316" s="70"/>
      <c r="B316" s="70"/>
      <c r="C316" s="70"/>
      <c r="D316" s="71"/>
      <c r="E316" s="72"/>
      <c r="F316" s="72"/>
      <c r="G316" s="72"/>
      <c r="H316" s="29"/>
      <c r="I316" s="29"/>
      <c r="J316" s="72"/>
      <c r="K316" s="72"/>
      <c r="L316" s="72"/>
      <c r="M316" s="72"/>
      <c r="N316" s="72"/>
      <c r="O316" s="72"/>
      <c r="P316" s="72"/>
    </row>
    <row r="317" spans="1:16">
      <c r="A317" s="70"/>
      <c r="B317" s="70"/>
      <c r="C317" s="70"/>
      <c r="D317" s="71"/>
      <c r="E317" s="72"/>
      <c r="F317" s="72"/>
      <c r="G317" s="72"/>
      <c r="H317" s="29"/>
      <c r="I317" s="29"/>
      <c r="J317" s="72"/>
      <c r="K317" s="72"/>
      <c r="L317" s="72"/>
      <c r="M317" s="72"/>
      <c r="N317" s="72"/>
      <c r="O317" s="72"/>
      <c r="P317" s="72"/>
    </row>
    <row r="318" spans="1:16">
      <c r="A318" s="70"/>
      <c r="B318" s="70"/>
      <c r="C318" s="70"/>
      <c r="D318" s="71"/>
      <c r="E318" s="72"/>
      <c r="F318" s="72"/>
      <c r="G318" s="72"/>
      <c r="H318" s="29"/>
      <c r="I318" s="29"/>
      <c r="J318" s="72"/>
      <c r="K318" s="72"/>
      <c r="L318" s="72"/>
      <c r="M318" s="72"/>
      <c r="N318" s="72"/>
      <c r="O318" s="72"/>
      <c r="P318" s="72"/>
    </row>
    <row r="319" spans="1:16">
      <c r="A319" s="70"/>
      <c r="B319" s="70"/>
      <c r="C319" s="70"/>
      <c r="D319" s="71"/>
      <c r="E319" s="72"/>
      <c r="F319" s="72"/>
      <c r="G319" s="72"/>
      <c r="H319" s="29"/>
      <c r="I319" s="29"/>
      <c r="J319" s="72"/>
      <c r="K319" s="72"/>
      <c r="L319" s="72"/>
      <c r="M319" s="72"/>
      <c r="N319" s="72"/>
      <c r="O319" s="72"/>
      <c r="P319" s="72"/>
    </row>
    <row r="320" spans="1:16">
      <c r="A320" s="70"/>
      <c r="B320" s="70"/>
      <c r="C320" s="70"/>
      <c r="D320" s="71"/>
      <c r="E320" s="72"/>
      <c r="F320" s="72"/>
      <c r="G320" s="72"/>
      <c r="H320" s="29"/>
      <c r="I320" s="29"/>
      <c r="J320" s="72"/>
      <c r="K320" s="72"/>
      <c r="L320" s="72"/>
      <c r="M320" s="72"/>
      <c r="N320" s="72"/>
      <c r="O320" s="72"/>
      <c r="P320" s="72"/>
    </row>
    <row r="321" spans="1:16">
      <c r="A321" s="70"/>
      <c r="B321" s="70"/>
      <c r="C321" s="70"/>
      <c r="D321" s="71"/>
      <c r="E321" s="72"/>
      <c r="F321" s="72"/>
      <c r="G321" s="72"/>
      <c r="H321" s="29"/>
      <c r="I321" s="29"/>
      <c r="J321" s="72"/>
      <c r="K321" s="72"/>
      <c r="L321" s="72"/>
      <c r="M321" s="72"/>
      <c r="N321" s="72"/>
      <c r="O321" s="72"/>
      <c r="P321" s="72"/>
    </row>
    <row r="322" spans="1:16">
      <c r="A322" s="70"/>
      <c r="B322" s="70"/>
      <c r="C322" s="70"/>
      <c r="D322" s="71"/>
      <c r="E322" s="72"/>
      <c r="F322" s="72"/>
      <c r="G322" s="72"/>
      <c r="H322" s="29"/>
      <c r="I322" s="29"/>
      <c r="J322" s="72"/>
      <c r="K322" s="72"/>
      <c r="L322" s="72"/>
      <c r="M322" s="72"/>
      <c r="N322" s="72"/>
      <c r="O322" s="72"/>
      <c r="P322" s="72"/>
    </row>
    <row r="323" spans="1:16">
      <c r="A323" s="70"/>
      <c r="B323" s="70"/>
      <c r="C323" s="70"/>
      <c r="D323" s="71"/>
      <c r="E323" s="72"/>
      <c r="F323" s="72"/>
      <c r="G323" s="72"/>
      <c r="H323" s="29"/>
      <c r="I323" s="29"/>
      <c r="J323" s="72"/>
      <c r="K323" s="72"/>
      <c r="L323" s="72"/>
      <c r="M323" s="72"/>
      <c r="N323" s="72"/>
      <c r="O323" s="72"/>
      <c r="P323" s="72"/>
    </row>
    <row r="324" spans="1:16">
      <c r="A324" s="70"/>
      <c r="B324" s="70"/>
      <c r="C324" s="70"/>
      <c r="D324" s="71"/>
      <c r="E324" s="72"/>
      <c r="F324" s="72"/>
      <c r="G324" s="72"/>
      <c r="H324" s="29"/>
      <c r="I324" s="29"/>
      <c r="J324" s="72"/>
      <c r="K324" s="72"/>
      <c r="L324" s="72"/>
      <c r="M324" s="72"/>
      <c r="N324" s="72"/>
      <c r="O324" s="72"/>
      <c r="P324" s="72"/>
    </row>
    <row r="325" spans="1:16">
      <c r="A325" s="70"/>
      <c r="B325" s="70"/>
      <c r="C325" s="70"/>
      <c r="D325" s="71"/>
      <c r="E325" s="72"/>
      <c r="F325" s="72"/>
      <c r="G325" s="72"/>
      <c r="H325" s="29"/>
      <c r="I325" s="29"/>
      <c r="J325" s="72"/>
      <c r="K325" s="72"/>
      <c r="L325" s="72"/>
      <c r="M325" s="72"/>
      <c r="N325" s="72"/>
      <c r="O325" s="72"/>
      <c r="P325" s="72"/>
    </row>
    <row r="326" spans="1:16">
      <c r="A326" s="70"/>
      <c r="B326" s="70"/>
      <c r="C326" s="70"/>
      <c r="D326" s="71"/>
      <c r="E326" s="72"/>
      <c r="F326" s="72"/>
      <c r="G326" s="72"/>
      <c r="H326" s="29"/>
      <c r="I326" s="29"/>
      <c r="J326" s="72"/>
      <c r="K326" s="72"/>
      <c r="L326" s="72"/>
      <c r="M326" s="72"/>
      <c r="N326" s="72"/>
      <c r="O326" s="72"/>
      <c r="P326" s="72"/>
    </row>
    <row r="327" spans="1:16">
      <c r="A327" s="70"/>
      <c r="B327" s="70"/>
      <c r="C327" s="70"/>
      <c r="D327" s="71"/>
      <c r="E327" s="72"/>
      <c r="F327" s="72"/>
      <c r="G327" s="72"/>
      <c r="H327" s="29"/>
      <c r="I327" s="29"/>
      <c r="J327" s="72"/>
      <c r="K327" s="72"/>
      <c r="L327" s="72"/>
      <c r="M327" s="72"/>
      <c r="N327" s="72"/>
      <c r="O327" s="72"/>
      <c r="P327" s="72"/>
    </row>
    <row r="328" spans="1:16">
      <c r="A328" s="70"/>
      <c r="B328" s="70"/>
      <c r="C328" s="70"/>
      <c r="D328" s="71"/>
      <c r="E328" s="72"/>
      <c r="F328" s="72"/>
      <c r="G328" s="72"/>
      <c r="H328" s="29"/>
      <c r="I328" s="29"/>
      <c r="J328" s="72"/>
      <c r="K328" s="72"/>
      <c r="L328" s="72"/>
      <c r="M328" s="72"/>
      <c r="N328" s="72"/>
      <c r="O328" s="72"/>
      <c r="P328" s="72"/>
    </row>
    <row r="329" spans="1:16">
      <c r="A329" s="70"/>
      <c r="B329" s="70"/>
      <c r="C329" s="70"/>
      <c r="D329" s="71"/>
      <c r="E329" s="72"/>
      <c r="F329" s="72"/>
      <c r="G329" s="72"/>
      <c r="H329" s="29"/>
      <c r="I329" s="29"/>
      <c r="J329" s="72"/>
      <c r="K329" s="72"/>
      <c r="L329" s="72"/>
      <c r="M329" s="72"/>
      <c r="N329" s="72"/>
      <c r="O329" s="72"/>
      <c r="P329" s="72"/>
    </row>
    <row r="330" spans="1:16">
      <c r="A330" s="70"/>
      <c r="B330" s="70"/>
      <c r="C330" s="70"/>
      <c r="D330" s="71"/>
      <c r="E330" s="72"/>
      <c r="F330" s="72"/>
      <c r="G330" s="72"/>
      <c r="H330" s="29"/>
      <c r="I330" s="29"/>
      <c r="J330" s="72"/>
      <c r="K330" s="72"/>
      <c r="L330" s="72"/>
      <c r="M330" s="72"/>
      <c r="N330" s="72"/>
      <c r="O330" s="72"/>
      <c r="P330" s="72"/>
    </row>
    <row r="331" spans="1:16">
      <c r="A331" s="70"/>
      <c r="B331" s="70"/>
      <c r="C331" s="70"/>
      <c r="D331" s="71"/>
      <c r="E331" s="72"/>
      <c r="F331" s="72"/>
      <c r="G331" s="72"/>
      <c r="H331" s="29"/>
      <c r="I331" s="29"/>
      <c r="J331" s="72"/>
      <c r="K331" s="72"/>
      <c r="L331" s="72"/>
      <c r="M331" s="72"/>
      <c r="N331" s="72"/>
      <c r="O331" s="72"/>
      <c r="P331" s="72"/>
    </row>
    <row r="332" spans="1:16">
      <c r="A332" s="70"/>
      <c r="B332" s="70"/>
      <c r="C332" s="70"/>
      <c r="D332" s="71"/>
      <c r="E332" s="72"/>
      <c r="F332" s="72"/>
      <c r="G332" s="72"/>
      <c r="H332" s="29"/>
      <c r="I332" s="29"/>
      <c r="J332" s="72"/>
      <c r="K332" s="72"/>
      <c r="L332" s="72"/>
      <c r="M332" s="72"/>
      <c r="N332" s="72"/>
      <c r="O332" s="72"/>
      <c r="P332" s="72"/>
    </row>
    <row r="333" spans="1:16">
      <c r="A333" s="70"/>
      <c r="B333" s="70"/>
      <c r="C333" s="70"/>
      <c r="D333" s="71"/>
      <c r="E333" s="72"/>
      <c r="F333" s="72"/>
      <c r="G333" s="72"/>
      <c r="H333" s="29"/>
      <c r="I333" s="29"/>
      <c r="J333" s="72"/>
      <c r="K333" s="72"/>
      <c r="L333" s="72"/>
      <c r="M333" s="72"/>
      <c r="N333" s="72"/>
      <c r="O333" s="72"/>
      <c r="P333" s="72"/>
    </row>
    <row r="334" spans="1:16">
      <c r="A334" s="70"/>
      <c r="B334" s="70"/>
      <c r="C334" s="70"/>
      <c r="D334" s="71"/>
      <c r="E334" s="72"/>
      <c r="F334" s="72"/>
      <c r="G334" s="72"/>
      <c r="H334" s="29"/>
      <c r="I334" s="29"/>
      <c r="J334" s="72"/>
      <c r="K334" s="72"/>
      <c r="L334" s="72"/>
      <c r="M334" s="72"/>
      <c r="N334" s="72"/>
      <c r="O334" s="72"/>
      <c r="P334" s="72"/>
    </row>
    <row r="335" spans="1:16">
      <c r="A335" s="70"/>
      <c r="B335" s="70"/>
      <c r="C335" s="70"/>
      <c r="D335" s="71"/>
      <c r="E335" s="72"/>
      <c r="F335" s="72"/>
      <c r="G335" s="72"/>
      <c r="H335" s="29"/>
      <c r="I335" s="29"/>
      <c r="J335" s="72"/>
      <c r="K335" s="72"/>
      <c r="L335" s="72"/>
      <c r="M335" s="72"/>
      <c r="N335" s="72"/>
      <c r="O335" s="72"/>
      <c r="P335" s="72"/>
    </row>
    <row r="336" spans="1:16">
      <c r="A336" s="70"/>
      <c r="B336" s="70"/>
      <c r="C336" s="70"/>
      <c r="D336" s="71"/>
      <c r="E336" s="72"/>
      <c r="F336" s="72"/>
      <c r="G336" s="72"/>
      <c r="H336" s="29"/>
      <c r="I336" s="29"/>
      <c r="J336" s="72"/>
      <c r="K336" s="72"/>
      <c r="L336" s="72"/>
      <c r="M336" s="72"/>
      <c r="N336" s="72"/>
      <c r="O336" s="72"/>
      <c r="P336" s="72"/>
    </row>
    <row r="337" spans="1:16">
      <c r="A337" s="70"/>
      <c r="B337" s="70"/>
      <c r="C337" s="70"/>
      <c r="D337" s="71"/>
      <c r="E337" s="72"/>
      <c r="F337" s="72"/>
      <c r="G337" s="72"/>
      <c r="H337" s="29"/>
      <c r="I337" s="29"/>
      <c r="J337" s="72"/>
      <c r="K337" s="72"/>
      <c r="L337" s="72"/>
      <c r="M337" s="72"/>
      <c r="N337" s="72"/>
      <c r="O337" s="72"/>
      <c r="P337" s="72"/>
    </row>
    <row r="338" spans="1:16">
      <c r="A338" s="70"/>
      <c r="B338" s="70"/>
      <c r="C338" s="70"/>
      <c r="D338" s="71"/>
      <c r="E338" s="72"/>
      <c r="F338" s="72"/>
      <c r="G338" s="72"/>
      <c r="H338" s="29"/>
      <c r="I338" s="29"/>
      <c r="J338" s="72"/>
      <c r="K338" s="72"/>
      <c r="L338" s="72"/>
      <c r="M338" s="72"/>
      <c r="N338" s="72"/>
      <c r="O338" s="72"/>
      <c r="P338" s="72"/>
    </row>
    <row r="339" spans="1:16">
      <c r="A339" s="70"/>
      <c r="B339" s="70"/>
      <c r="C339" s="70"/>
      <c r="D339" s="71"/>
      <c r="E339" s="72"/>
      <c r="F339" s="72"/>
      <c r="G339" s="72"/>
      <c r="H339" s="29"/>
      <c r="I339" s="29"/>
      <c r="J339" s="72"/>
      <c r="K339" s="72"/>
      <c r="L339" s="72"/>
      <c r="M339" s="72"/>
      <c r="N339" s="72"/>
      <c r="O339" s="72"/>
      <c r="P339" s="72"/>
    </row>
    <row r="340" spans="1:16">
      <c r="A340" s="70"/>
      <c r="B340" s="70"/>
      <c r="C340" s="70"/>
      <c r="D340" s="71"/>
      <c r="E340" s="72"/>
      <c r="F340" s="72"/>
      <c r="G340" s="72"/>
      <c r="H340" s="29"/>
      <c r="I340" s="29"/>
      <c r="J340" s="72"/>
      <c r="K340" s="72"/>
      <c r="L340" s="72"/>
      <c r="M340" s="72"/>
      <c r="N340" s="72"/>
      <c r="O340" s="72"/>
      <c r="P340" s="72"/>
    </row>
    <row r="341" spans="1:16">
      <c r="A341" s="70"/>
      <c r="B341" s="70"/>
      <c r="C341" s="70"/>
      <c r="D341" s="71"/>
      <c r="E341" s="72"/>
      <c r="F341" s="72"/>
      <c r="G341" s="72"/>
      <c r="H341" s="29"/>
      <c r="I341" s="29"/>
      <c r="J341" s="72"/>
      <c r="K341" s="72"/>
      <c r="L341" s="72"/>
      <c r="M341" s="72"/>
      <c r="N341" s="72"/>
      <c r="O341" s="72"/>
      <c r="P341" s="72"/>
    </row>
    <row r="342" spans="1:16">
      <c r="A342" s="70"/>
      <c r="B342" s="70"/>
      <c r="C342" s="70"/>
      <c r="D342" s="71"/>
      <c r="E342" s="72"/>
      <c r="F342" s="72"/>
      <c r="G342" s="72"/>
      <c r="H342" s="29"/>
      <c r="I342" s="29"/>
      <c r="J342" s="72"/>
      <c r="K342" s="72"/>
      <c r="L342" s="72"/>
      <c r="M342" s="72"/>
      <c r="N342" s="72"/>
      <c r="O342" s="72"/>
      <c r="P342" s="72"/>
    </row>
    <row r="343" spans="1:16">
      <c r="A343" s="70"/>
      <c r="B343" s="70"/>
      <c r="C343" s="70"/>
      <c r="D343" s="71"/>
      <c r="E343" s="72"/>
      <c r="F343" s="72"/>
      <c r="G343" s="72"/>
      <c r="H343" s="29"/>
      <c r="I343" s="29"/>
      <c r="J343" s="72"/>
      <c r="K343" s="72"/>
      <c r="L343" s="72"/>
      <c r="M343" s="72"/>
      <c r="N343" s="72"/>
      <c r="O343" s="72"/>
      <c r="P343" s="72"/>
    </row>
    <row r="344" spans="1:16">
      <c r="A344" s="70"/>
      <c r="B344" s="70"/>
      <c r="C344" s="70"/>
      <c r="D344" s="71"/>
      <c r="E344" s="72"/>
      <c r="F344" s="72"/>
      <c r="G344" s="72"/>
      <c r="H344" s="29"/>
      <c r="I344" s="29"/>
      <c r="J344" s="72"/>
      <c r="K344" s="72"/>
      <c r="L344" s="72"/>
      <c r="M344" s="72"/>
      <c r="N344" s="72"/>
      <c r="O344" s="72"/>
      <c r="P344" s="72"/>
    </row>
    <row r="345" spans="1:16">
      <c r="A345" s="70"/>
      <c r="B345" s="70"/>
      <c r="C345" s="70"/>
      <c r="D345" s="71"/>
      <c r="E345" s="72"/>
      <c r="F345" s="72"/>
      <c r="G345" s="72"/>
      <c r="H345" s="29"/>
      <c r="I345" s="29"/>
      <c r="J345" s="72"/>
      <c r="K345" s="72"/>
      <c r="L345" s="72"/>
      <c r="M345" s="72"/>
      <c r="N345" s="72"/>
      <c r="O345" s="72"/>
      <c r="P345" s="72"/>
    </row>
    <row r="346" spans="1:16">
      <c r="A346" s="70"/>
      <c r="B346" s="70"/>
      <c r="C346" s="70"/>
      <c r="D346" s="71"/>
      <c r="E346" s="72"/>
      <c r="F346" s="72"/>
      <c r="G346" s="72"/>
      <c r="H346" s="29"/>
      <c r="I346" s="29"/>
      <c r="J346" s="72"/>
      <c r="K346" s="72"/>
      <c r="L346" s="72"/>
      <c r="M346" s="72"/>
      <c r="N346" s="72"/>
      <c r="O346" s="72"/>
      <c r="P346" s="72"/>
    </row>
    <row r="347" spans="1:16">
      <c r="A347" s="70"/>
      <c r="B347" s="70"/>
      <c r="C347" s="70"/>
      <c r="D347" s="71"/>
      <c r="E347" s="72"/>
      <c r="F347" s="72"/>
      <c r="G347" s="72"/>
      <c r="H347" s="29"/>
      <c r="I347" s="29"/>
      <c r="J347" s="72"/>
      <c r="K347" s="72"/>
      <c r="L347" s="72"/>
      <c r="M347" s="72"/>
      <c r="N347" s="72"/>
      <c r="O347" s="72"/>
      <c r="P347" s="72"/>
    </row>
    <row r="348" spans="1:16">
      <c r="A348" s="70"/>
      <c r="B348" s="70"/>
      <c r="C348" s="70"/>
      <c r="D348" s="71"/>
      <c r="E348" s="72"/>
      <c r="F348" s="72"/>
      <c r="G348" s="72"/>
      <c r="H348" s="29"/>
      <c r="I348" s="29"/>
      <c r="J348" s="72"/>
      <c r="K348" s="72"/>
      <c r="L348" s="72"/>
      <c r="M348" s="72"/>
      <c r="N348" s="72"/>
      <c r="O348" s="72"/>
      <c r="P348" s="72"/>
    </row>
    <row r="349" spans="1:16">
      <c r="A349" s="70"/>
      <c r="B349" s="70"/>
      <c r="C349" s="70"/>
      <c r="D349" s="71"/>
      <c r="E349" s="72"/>
      <c r="F349" s="72"/>
      <c r="G349" s="72"/>
      <c r="H349" s="29"/>
      <c r="I349" s="29"/>
      <c r="J349" s="72"/>
      <c r="K349" s="72"/>
      <c r="L349" s="72"/>
      <c r="M349" s="72"/>
      <c r="N349" s="72"/>
      <c r="O349" s="72"/>
      <c r="P349" s="72"/>
    </row>
    <row r="350" spans="1:16">
      <c r="A350" s="70"/>
      <c r="B350" s="70"/>
      <c r="C350" s="70"/>
      <c r="D350" s="71"/>
      <c r="E350" s="72"/>
      <c r="F350" s="72"/>
      <c r="G350" s="72"/>
      <c r="H350" s="29"/>
      <c r="I350" s="29"/>
      <c r="J350" s="72"/>
      <c r="K350" s="72"/>
      <c r="L350" s="72"/>
      <c r="M350" s="72"/>
      <c r="N350" s="72"/>
      <c r="O350" s="72"/>
      <c r="P350" s="72"/>
    </row>
    <row r="351" spans="1:16">
      <c r="A351" s="70"/>
      <c r="B351" s="70"/>
      <c r="C351" s="70"/>
      <c r="D351" s="71"/>
      <c r="E351" s="72"/>
      <c r="F351" s="72"/>
      <c r="G351" s="72"/>
      <c r="H351" s="29"/>
      <c r="I351" s="29"/>
      <c r="J351" s="72"/>
      <c r="K351" s="72"/>
      <c r="L351" s="72"/>
      <c r="M351" s="72"/>
      <c r="N351" s="72"/>
      <c r="O351" s="72"/>
      <c r="P351" s="72"/>
    </row>
    <row r="352" spans="1:16">
      <c r="A352" s="70"/>
      <c r="B352" s="70"/>
      <c r="C352" s="70"/>
      <c r="D352" s="71"/>
      <c r="E352" s="72"/>
      <c r="F352" s="72"/>
      <c r="G352" s="72"/>
      <c r="H352" s="29"/>
      <c r="I352" s="29"/>
      <c r="J352" s="72"/>
      <c r="K352" s="72"/>
      <c r="L352" s="72"/>
      <c r="M352" s="72"/>
      <c r="N352" s="72"/>
      <c r="O352" s="72"/>
      <c r="P352" s="72"/>
    </row>
    <row r="353" spans="1:16">
      <c r="A353" s="70"/>
      <c r="B353" s="70"/>
      <c r="C353" s="70"/>
      <c r="D353" s="71"/>
      <c r="E353" s="72"/>
      <c r="F353" s="72"/>
      <c r="G353" s="72"/>
      <c r="H353" s="29"/>
      <c r="I353" s="29"/>
      <c r="J353" s="72"/>
      <c r="K353" s="72"/>
      <c r="L353" s="72"/>
      <c r="M353" s="72"/>
      <c r="N353" s="72"/>
      <c r="O353" s="72"/>
      <c r="P353" s="72"/>
    </row>
    <row r="354" spans="1:16">
      <c r="A354" s="70"/>
      <c r="B354" s="70"/>
      <c r="C354" s="70"/>
      <c r="D354" s="71"/>
      <c r="E354" s="72"/>
      <c r="F354" s="72"/>
      <c r="G354" s="72"/>
      <c r="H354" s="29"/>
      <c r="I354" s="29"/>
      <c r="J354" s="72"/>
      <c r="K354" s="72"/>
      <c r="L354" s="72"/>
      <c r="M354" s="72"/>
      <c r="N354" s="72"/>
      <c r="O354" s="72"/>
      <c r="P354" s="72"/>
    </row>
    <row r="355" spans="1:16">
      <c r="A355" s="70"/>
      <c r="B355" s="70"/>
      <c r="C355" s="70"/>
      <c r="D355" s="71"/>
      <c r="E355" s="72"/>
      <c r="F355" s="72"/>
      <c r="G355" s="72"/>
      <c r="H355" s="29"/>
      <c r="I355" s="29"/>
      <c r="J355" s="72"/>
      <c r="K355" s="72"/>
      <c r="L355" s="72"/>
      <c r="M355" s="72"/>
      <c r="N355" s="72"/>
      <c r="O355" s="72"/>
      <c r="P355" s="72"/>
    </row>
    <row r="356" spans="1:16">
      <c r="A356" s="70"/>
      <c r="B356" s="70"/>
      <c r="C356" s="70"/>
      <c r="D356" s="71"/>
      <c r="E356" s="72"/>
      <c r="F356" s="72"/>
      <c r="G356" s="72"/>
      <c r="H356" s="29"/>
      <c r="I356" s="29"/>
      <c r="J356" s="72"/>
      <c r="K356" s="72"/>
      <c r="L356" s="72"/>
      <c r="M356" s="72"/>
      <c r="N356" s="72"/>
      <c r="O356" s="72"/>
      <c r="P356" s="72"/>
    </row>
    <row r="357" spans="1:16">
      <c r="A357" s="70"/>
      <c r="B357" s="70"/>
      <c r="C357" s="70"/>
      <c r="D357" s="71"/>
      <c r="E357" s="72"/>
      <c r="F357" s="72"/>
      <c r="G357" s="72"/>
      <c r="H357" s="29"/>
      <c r="I357" s="29"/>
      <c r="J357" s="72"/>
      <c r="K357" s="72"/>
      <c r="L357" s="72"/>
      <c r="M357" s="72"/>
      <c r="N357" s="72"/>
      <c r="O357" s="72"/>
      <c r="P357" s="72"/>
    </row>
    <row r="358" spans="1:16">
      <c r="A358" s="70"/>
      <c r="B358" s="70"/>
      <c r="C358" s="70"/>
      <c r="D358" s="71"/>
      <c r="E358" s="72"/>
      <c r="F358" s="72"/>
      <c r="G358" s="72"/>
      <c r="H358" s="29"/>
      <c r="I358" s="29"/>
      <c r="J358" s="72"/>
      <c r="K358" s="72"/>
      <c r="L358" s="72"/>
      <c r="M358" s="72"/>
      <c r="N358" s="72"/>
      <c r="O358" s="72"/>
      <c r="P358" s="72"/>
    </row>
    <row r="359" spans="1:16">
      <c r="A359" s="70"/>
      <c r="B359" s="70"/>
      <c r="C359" s="70"/>
      <c r="D359" s="71"/>
      <c r="E359" s="72"/>
      <c r="F359" s="72"/>
      <c r="G359" s="72"/>
      <c r="H359" s="29"/>
      <c r="I359" s="29"/>
      <c r="J359" s="72"/>
      <c r="K359" s="72"/>
      <c r="L359" s="72"/>
      <c r="M359" s="72"/>
      <c r="N359" s="72"/>
      <c r="O359" s="72"/>
      <c r="P359" s="72"/>
    </row>
    <row r="360" spans="1:16">
      <c r="A360" s="70"/>
      <c r="B360" s="70"/>
      <c r="C360" s="70"/>
      <c r="D360" s="71"/>
      <c r="E360" s="72"/>
      <c r="F360" s="72"/>
      <c r="G360" s="72"/>
      <c r="H360" s="29"/>
      <c r="I360" s="29"/>
      <c r="J360" s="72"/>
      <c r="K360" s="72"/>
      <c r="L360" s="72"/>
      <c r="M360" s="72"/>
      <c r="N360" s="72"/>
      <c r="O360" s="72"/>
      <c r="P360" s="72"/>
    </row>
    <row r="361" spans="1:16">
      <c r="A361" s="70"/>
      <c r="B361" s="70"/>
      <c r="C361" s="70"/>
      <c r="D361" s="71"/>
      <c r="E361" s="72"/>
      <c r="F361" s="72"/>
      <c r="G361" s="72"/>
      <c r="H361" s="29"/>
      <c r="I361" s="29"/>
      <c r="J361" s="72"/>
      <c r="K361" s="72"/>
      <c r="L361" s="72"/>
      <c r="M361" s="72"/>
      <c r="N361" s="72"/>
      <c r="O361" s="72"/>
      <c r="P361" s="72"/>
    </row>
    <row r="362" spans="1:16">
      <c r="A362" s="70"/>
      <c r="B362" s="70"/>
      <c r="C362" s="70"/>
      <c r="D362" s="71"/>
      <c r="E362" s="72"/>
      <c r="F362" s="72"/>
      <c r="G362" s="72"/>
      <c r="H362" s="29"/>
      <c r="I362" s="29"/>
      <c r="J362" s="72"/>
      <c r="K362" s="72"/>
      <c r="L362" s="72"/>
      <c r="M362" s="72"/>
      <c r="N362" s="72"/>
      <c r="O362" s="72"/>
      <c r="P362" s="72"/>
    </row>
    <row r="363" spans="1:16">
      <c r="A363" s="70"/>
      <c r="B363" s="70"/>
      <c r="C363" s="70"/>
      <c r="D363" s="71"/>
      <c r="E363" s="72"/>
      <c r="F363" s="72"/>
      <c r="G363" s="72"/>
      <c r="H363" s="29"/>
      <c r="I363" s="29"/>
      <c r="J363" s="72"/>
      <c r="K363" s="72"/>
      <c r="L363" s="72"/>
      <c r="M363" s="72"/>
      <c r="N363" s="72"/>
      <c r="O363" s="72"/>
      <c r="P363" s="72"/>
    </row>
    <row r="364" spans="1:16">
      <c r="A364" s="70"/>
      <c r="B364" s="70"/>
      <c r="C364" s="70"/>
      <c r="D364" s="71"/>
      <c r="E364" s="72"/>
      <c r="F364" s="72"/>
      <c r="G364" s="72"/>
      <c r="H364" s="29"/>
      <c r="I364" s="29"/>
      <c r="J364" s="72"/>
      <c r="K364" s="72"/>
      <c r="L364" s="72"/>
      <c r="M364" s="72"/>
      <c r="N364" s="72"/>
      <c r="O364" s="72"/>
      <c r="P364" s="72"/>
    </row>
    <row r="365" spans="1:16">
      <c r="A365" s="70"/>
      <c r="B365" s="70"/>
      <c r="C365" s="70"/>
      <c r="D365" s="71"/>
      <c r="E365" s="72"/>
      <c r="F365" s="72"/>
      <c r="G365" s="72"/>
      <c r="H365" s="29"/>
      <c r="I365" s="29"/>
      <c r="J365" s="72"/>
      <c r="K365" s="72"/>
      <c r="L365" s="72"/>
      <c r="M365" s="72"/>
      <c r="N365" s="72"/>
      <c r="O365" s="72"/>
      <c r="P365" s="72"/>
    </row>
    <row r="366" spans="1:16">
      <c r="A366" s="70"/>
      <c r="B366" s="70"/>
      <c r="C366" s="70"/>
      <c r="D366" s="71"/>
      <c r="E366" s="72"/>
      <c r="F366" s="72"/>
      <c r="G366" s="72"/>
      <c r="H366" s="29"/>
      <c r="I366" s="29"/>
      <c r="J366" s="72"/>
      <c r="K366" s="72"/>
      <c r="L366" s="72"/>
      <c r="M366" s="72"/>
      <c r="N366" s="72"/>
      <c r="O366" s="72"/>
      <c r="P366" s="72"/>
    </row>
    <row r="367" spans="1:16">
      <c r="A367" s="70"/>
      <c r="B367" s="70"/>
      <c r="C367" s="70"/>
      <c r="D367" s="71"/>
      <c r="E367" s="72"/>
      <c r="F367" s="72"/>
      <c r="G367" s="72"/>
      <c r="H367" s="29"/>
      <c r="I367" s="29"/>
      <c r="J367" s="72"/>
      <c r="K367" s="72"/>
      <c r="L367" s="72"/>
      <c r="M367" s="72"/>
      <c r="N367" s="72"/>
      <c r="O367" s="72"/>
      <c r="P367" s="72"/>
    </row>
    <row r="368" spans="1:16">
      <c r="A368" s="70"/>
      <c r="B368" s="70"/>
      <c r="C368" s="70"/>
      <c r="D368" s="71"/>
      <c r="E368" s="72"/>
      <c r="F368" s="72"/>
      <c r="G368" s="72"/>
      <c r="H368" s="29"/>
      <c r="I368" s="29"/>
      <c r="J368" s="72"/>
      <c r="K368" s="72"/>
      <c r="L368" s="72"/>
      <c r="M368" s="72"/>
      <c r="N368" s="72"/>
      <c r="O368" s="72"/>
      <c r="P368" s="72"/>
    </row>
    <row r="369" spans="1:16">
      <c r="A369" s="70"/>
      <c r="B369" s="70"/>
      <c r="C369" s="70"/>
      <c r="D369" s="71"/>
      <c r="E369" s="72"/>
      <c r="F369" s="72"/>
      <c r="G369" s="72"/>
      <c r="H369" s="29"/>
      <c r="I369" s="29"/>
      <c r="J369" s="72"/>
      <c r="K369" s="72"/>
      <c r="L369" s="72"/>
      <c r="M369" s="72"/>
      <c r="N369" s="72"/>
      <c r="O369" s="72"/>
      <c r="P369" s="72"/>
    </row>
    <row r="370" spans="1:16">
      <c r="A370" s="70"/>
      <c r="B370" s="70"/>
      <c r="C370" s="70"/>
      <c r="D370" s="71"/>
      <c r="E370" s="72"/>
      <c r="F370" s="72"/>
      <c r="G370" s="72"/>
      <c r="H370" s="29"/>
      <c r="I370" s="29"/>
      <c r="J370" s="72"/>
      <c r="K370" s="72"/>
      <c r="L370" s="72"/>
      <c r="M370" s="72"/>
      <c r="N370" s="72"/>
      <c r="O370" s="72"/>
      <c r="P370" s="72"/>
    </row>
    <row r="371" spans="1:16">
      <c r="A371" s="70"/>
      <c r="B371" s="70"/>
      <c r="C371" s="70"/>
      <c r="D371" s="71"/>
      <c r="E371" s="72"/>
      <c r="F371" s="72"/>
      <c r="G371" s="72"/>
      <c r="H371" s="29"/>
      <c r="I371" s="29"/>
      <c r="J371" s="72"/>
      <c r="K371" s="72"/>
      <c r="L371" s="72"/>
      <c r="M371" s="72"/>
      <c r="N371" s="72"/>
      <c r="O371" s="72"/>
      <c r="P371" s="72"/>
    </row>
    <row r="372" spans="1:16">
      <c r="A372" s="70"/>
      <c r="B372" s="70"/>
      <c r="C372" s="70"/>
      <c r="D372" s="71"/>
      <c r="E372" s="72"/>
      <c r="F372" s="72"/>
      <c r="G372" s="72"/>
      <c r="H372" s="29"/>
      <c r="I372" s="29"/>
      <c r="J372" s="72"/>
      <c r="K372" s="72"/>
      <c r="L372" s="72"/>
      <c r="M372" s="72"/>
      <c r="N372" s="72"/>
      <c r="O372" s="72"/>
      <c r="P372" s="72"/>
    </row>
    <row r="373" spans="1:16">
      <c r="A373" s="70"/>
      <c r="B373" s="70"/>
      <c r="C373" s="70"/>
      <c r="D373" s="71"/>
      <c r="E373" s="72"/>
      <c r="F373" s="72"/>
      <c r="G373" s="72"/>
      <c r="H373" s="29"/>
      <c r="I373" s="29"/>
      <c r="J373" s="72"/>
      <c r="K373" s="72"/>
      <c r="L373" s="72"/>
      <c r="M373" s="72"/>
      <c r="N373" s="72"/>
      <c r="O373" s="72"/>
      <c r="P373" s="72"/>
    </row>
    <row r="374" spans="1:16">
      <c r="A374" s="70"/>
      <c r="B374" s="70"/>
      <c r="C374" s="70"/>
      <c r="D374" s="71"/>
      <c r="E374" s="72"/>
      <c r="F374" s="72"/>
      <c r="G374" s="72"/>
      <c r="H374" s="29"/>
      <c r="I374" s="29"/>
      <c r="J374" s="72"/>
      <c r="K374" s="72"/>
      <c r="L374" s="72"/>
      <c r="M374" s="72"/>
      <c r="N374" s="72"/>
      <c r="O374" s="72"/>
      <c r="P374" s="72"/>
    </row>
    <row r="375" spans="1:16">
      <c r="A375" s="70"/>
      <c r="B375" s="70"/>
      <c r="C375" s="70"/>
      <c r="D375" s="71"/>
      <c r="E375" s="72"/>
      <c r="F375" s="72"/>
      <c r="G375" s="72"/>
      <c r="H375" s="29"/>
      <c r="I375" s="29"/>
      <c r="J375" s="72"/>
      <c r="K375" s="72"/>
      <c r="L375" s="72"/>
      <c r="M375" s="72"/>
      <c r="N375" s="72"/>
      <c r="O375" s="72"/>
      <c r="P375" s="72"/>
    </row>
    <row r="376" spans="1:16">
      <c r="A376" s="70"/>
      <c r="B376" s="70"/>
      <c r="C376" s="70"/>
      <c r="D376" s="71"/>
      <c r="E376" s="72"/>
      <c r="F376" s="72"/>
      <c r="G376" s="72"/>
      <c r="H376" s="29"/>
      <c r="I376" s="29"/>
      <c r="J376" s="72"/>
      <c r="K376" s="72"/>
      <c r="L376" s="72"/>
      <c r="M376" s="72"/>
      <c r="N376" s="72"/>
      <c r="O376" s="72"/>
      <c r="P376" s="72"/>
    </row>
    <row r="377" spans="1:16">
      <c r="A377" s="70"/>
      <c r="B377" s="70"/>
      <c r="C377" s="70"/>
      <c r="D377" s="71"/>
      <c r="E377" s="72"/>
      <c r="F377" s="72"/>
      <c r="G377" s="72"/>
      <c r="H377" s="29"/>
      <c r="I377" s="29"/>
      <c r="J377" s="72"/>
      <c r="K377" s="72"/>
      <c r="L377" s="72"/>
      <c r="M377" s="72"/>
      <c r="N377" s="72"/>
      <c r="O377" s="72"/>
      <c r="P377" s="72"/>
    </row>
    <row r="378" spans="1:16">
      <c r="A378" s="70"/>
      <c r="B378" s="70"/>
      <c r="C378" s="70"/>
      <c r="D378" s="71"/>
      <c r="E378" s="72"/>
      <c r="F378" s="72"/>
      <c r="G378" s="72"/>
      <c r="H378" s="29"/>
      <c r="I378" s="29"/>
      <c r="J378" s="72"/>
      <c r="K378" s="72"/>
      <c r="L378" s="72"/>
      <c r="M378" s="72"/>
      <c r="N378" s="72"/>
      <c r="O378" s="72"/>
      <c r="P378" s="72"/>
    </row>
    <row r="379" spans="1:16">
      <c r="A379" s="70"/>
      <c r="B379" s="70"/>
      <c r="C379" s="70"/>
      <c r="D379" s="71"/>
      <c r="E379" s="72"/>
      <c r="F379" s="72"/>
      <c r="G379" s="72"/>
      <c r="H379" s="29"/>
      <c r="I379" s="29"/>
      <c r="J379" s="72"/>
      <c r="K379" s="72"/>
      <c r="L379" s="72"/>
      <c r="M379" s="72"/>
      <c r="N379" s="72"/>
      <c r="O379" s="72"/>
      <c r="P379" s="72"/>
    </row>
    <row r="380" spans="1:16">
      <c r="A380" s="70"/>
      <c r="B380" s="70"/>
      <c r="C380" s="70"/>
      <c r="D380" s="71"/>
      <c r="E380" s="72"/>
      <c r="F380" s="72"/>
      <c r="G380" s="72"/>
      <c r="H380" s="29"/>
      <c r="I380" s="29"/>
      <c r="J380" s="72"/>
      <c r="K380" s="72"/>
      <c r="L380" s="72"/>
      <c r="M380" s="72"/>
      <c r="N380" s="72"/>
      <c r="O380" s="72"/>
      <c r="P380" s="72"/>
    </row>
    <row r="381" spans="1:16">
      <c r="A381" s="70"/>
      <c r="B381" s="70"/>
      <c r="C381" s="70"/>
      <c r="D381" s="71"/>
      <c r="E381" s="72"/>
      <c r="F381" s="72"/>
      <c r="G381" s="72"/>
      <c r="H381" s="29"/>
      <c r="I381" s="29"/>
      <c r="J381" s="72"/>
      <c r="K381" s="72"/>
      <c r="L381" s="72"/>
      <c r="M381" s="72"/>
      <c r="N381" s="72"/>
      <c r="O381" s="72"/>
      <c r="P381" s="72"/>
    </row>
    <row r="382" spans="1:16">
      <c r="A382" s="70"/>
      <c r="B382" s="70"/>
      <c r="C382" s="70"/>
      <c r="D382" s="71"/>
      <c r="E382" s="72"/>
      <c r="F382" s="72"/>
      <c r="G382" s="72"/>
      <c r="H382" s="29"/>
      <c r="I382" s="29"/>
      <c r="J382" s="72"/>
      <c r="K382" s="72"/>
      <c r="L382" s="72"/>
      <c r="M382" s="72"/>
      <c r="N382" s="72"/>
      <c r="O382" s="72"/>
      <c r="P382" s="72"/>
    </row>
    <row r="383" spans="1:16">
      <c r="A383" s="70"/>
      <c r="B383" s="70"/>
      <c r="C383" s="70"/>
      <c r="D383" s="71"/>
      <c r="E383" s="72"/>
      <c r="F383" s="72"/>
      <c r="G383" s="72"/>
      <c r="H383" s="29"/>
      <c r="I383" s="29"/>
      <c r="J383" s="72"/>
      <c r="K383" s="72"/>
      <c r="L383" s="72"/>
      <c r="M383" s="72"/>
      <c r="N383" s="72"/>
      <c r="O383" s="72"/>
      <c r="P383" s="72"/>
    </row>
    <row r="384" spans="1:16">
      <c r="A384" s="70"/>
      <c r="B384" s="70"/>
      <c r="C384" s="70"/>
      <c r="D384" s="71"/>
      <c r="E384" s="72"/>
      <c r="F384" s="72"/>
      <c r="G384" s="72"/>
      <c r="H384" s="29"/>
      <c r="I384" s="29"/>
      <c r="J384" s="72"/>
      <c r="K384" s="72"/>
      <c r="L384" s="72"/>
      <c r="M384" s="72"/>
      <c r="N384" s="72"/>
      <c r="O384" s="72"/>
      <c r="P384" s="72"/>
    </row>
    <row r="385" spans="1:16">
      <c r="A385" s="70"/>
      <c r="B385" s="70"/>
      <c r="C385" s="70"/>
      <c r="D385" s="71"/>
      <c r="E385" s="72"/>
      <c r="F385" s="72"/>
      <c r="G385" s="72"/>
      <c r="H385" s="29"/>
      <c r="I385" s="29"/>
      <c r="J385" s="72"/>
      <c r="K385" s="72"/>
      <c r="L385" s="72"/>
      <c r="M385" s="72"/>
      <c r="N385" s="72"/>
      <c r="O385" s="72"/>
      <c r="P385" s="72"/>
    </row>
    <row r="386" spans="1:16">
      <c r="A386" s="70"/>
      <c r="B386" s="70"/>
      <c r="C386" s="70"/>
      <c r="D386" s="71"/>
      <c r="E386" s="72"/>
      <c r="F386" s="72"/>
      <c r="G386" s="72"/>
      <c r="H386" s="29"/>
      <c r="I386" s="29"/>
      <c r="J386" s="72"/>
      <c r="K386" s="72"/>
      <c r="L386" s="72"/>
      <c r="M386" s="72"/>
      <c r="N386" s="72"/>
      <c r="O386" s="72"/>
      <c r="P386" s="72"/>
    </row>
    <row r="387" spans="1:16">
      <c r="A387" s="70"/>
      <c r="B387" s="70"/>
      <c r="C387" s="70"/>
      <c r="D387" s="71"/>
      <c r="E387" s="72"/>
      <c r="F387" s="72"/>
      <c r="G387" s="72"/>
      <c r="H387" s="29"/>
      <c r="I387" s="29"/>
      <c r="J387" s="72"/>
      <c r="K387" s="72"/>
      <c r="L387" s="72"/>
      <c r="M387" s="72"/>
      <c r="N387" s="72"/>
      <c r="O387" s="72"/>
      <c r="P387" s="72"/>
    </row>
    <row r="388" spans="1:16">
      <c r="A388" s="70"/>
      <c r="B388" s="70"/>
      <c r="C388" s="70"/>
      <c r="D388" s="71"/>
      <c r="E388" s="72"/>
      <c r="F388" s="72"/>
      <c r="G388" s="72"/>
      <c r="H388" s="29"/>
      <c r="I388" s="29"/>
      <c r="J388" s="72"/>
      <c r="K388" s="72"/>
      <c r="L388" s="72"/>
      <c r="M388" s="72"/>
      <c r="N388" s="72"/>
      <c r="O388" s="72"/>
      <c r="P388" s="72"/>
    </row>
    <row r="389" spans="1:16">
      <c r="A389" s="70"/>
      <c r="B389" s="70"/>
      <c r="C389" s="70"/>
      <c r="D389" s="71"/>
      <c r="E389" s="72"/>
      <c r="F389" s="72"/>
      <c r="G389" s="72"/>
      <c r="H389" s="29"/>
      <c r="I389" s="29"/>
      <c r="J389" s="72"/>
      <c r="K389" s="72"/>
      <c r="L389" s="72"/>
      <c r="M389" s="72"/>
      <c r="N389" s="72"/>
      <c r="O389" s="72"/>
      <c r="P389" s="72"/>
    </row>
    <row r="390" spans="1:16">
      <c r="A390" s="70"/>
      <c r="B390" s="70"/>
      <c r="C390" s="70"/>
      <c r="D390" s="71"/>
      <c r="E390" s="72"/>
      <c r="F390" s="72"/>
      <c r="G390" s="72"/>
      <c r="H390" s="29"/>
      <c r="I390" s="29"/>
      <c r="J390" s="72"/>
      <c r="K390" s="72"/>
      <c r="L390" s="72"/>
      <c r="M390" s="72"/>
      <c r="N390" s="72"/>
      <c r="O390" s="72"/>
      <c r="P390" s="72"/>
    </row>
    <row r="391" spans="1:16">
      <c r="A391" s="70"/>
      <c r="B391" s="70"/>
      <c r="C391" s="70"/>
      <c r="D391" s="71"/>
      <c r="E391" s="72"/>
      <c r="F391" s="72"/>
      <c r="G391" s="72"/>
      <c r="H391" s="29"/>
      <c r="I391" s="29"/>
      <c r="J391" s="72"/>
      <c r="K391" s="72"/>
      <c r="L391" s="72"/>
      <c r="M391" s="72"/>
      <c r="N391" s="72"/>
      <c r="O391" s="72"/>
      <c r="P391" s="72"/>
    </row>
    <row r="392" spans="1:16">
      <c r="A392" s="70"/>
      <c r="B392" s="70"/>
      <c r="C392" s="70"/>
      <c r="D392" s="71"/>
      <c r="E392" s="72"/>
      <c r="F392" s="72"/>
      <c r="G392" s="72"/>
      <c r="H392" s="29"/>
      <c r="I392" s="29"/>
      <c r="J392" s="72"/>
      <c r="K392" s="72"/>
      <c r="L392" s="72"/>
      <c r="M392" s="72"/>
      <c r="N392" s="72"/>
      <c r="O392" s="72"/>
      <c r="P392" s="72"/>
    </row>
    <row r="393" spans="1:16">
      <c r="A393" s="70"/>
      <c r="B393" s="70"/>
      <c r="C393" s="70"/>
      <c r="D393" s="71"/>
      <c r="E393" s="72"/>
      <c r="F393" s="72"/>
      <c r="G393" s="72"/>
      <c r="H393" s="29"/>
      <c r="I393" s="29"/>
      <c r="J393" s="72"/>
      <c r="K393" s="72"/>
      <c r="L393" s="72"/>
      <c r="M393" s="72"/>
      <c r="N393" s="72"/>
      <c r="O393" s="72"/>
      <c r="P393" s="72"/>
    </row>
    <row r="394" spans="1:16">
      <c r="A394" s="70"/>
      <c r="B394" s="70"/>
      <c r="C394" s="70"/>
      <c r="D394" s="71"/>
      <c r="E394" s="72"/>
      <c r="F394" s="72"/>
      <c r="G394" s="72"/>
      <c r="H394" s="29"/>
      <c r="I394" s="29"/>
      <c r="J394" s="72"/>
      <c r="K394" s="72"/>
      <c r="L394" s="72"/>
      <c r="M394" s="72"/>
      <c r="N394" s="72"/>
      <c r="O394" s="72"/>
      <c r="P394" s="72"/>
    </row>
    <row r="395" spans="1:16">
      <c r="A395" s="70"/>
      <c r="B395" s="70"/>
      <c r="C395" s="70"/>
      <c r="D395" s="71"/>
      <c r="E395" s="72"/>
      <c r="F395" s="72"/>
      <c r="G395" s="72"/>
      <c r="H395" s="29"/>
      <c r="I395" s="29"/>
      <c r="J395" s="72"/>
      <c r="K395" s="72"/>
      <c r="L395" s="72"/>
      <c r="M395" s="72"/>
      <c r="N395" s="72"/>
      <c r="O395" s="72"/>
      <c r="P395" s="72"/>
    </row>
    <row r="396" spans="1:16">
      <c r="A396" s="70"/>
      <c r="B396" s="70"/>
      <c r="C396" s="70"/>
      <c r="D396" s="71"/>
      <c r="E396" s="72"/>
      <c r="F396" s="72"/>
      <c r="G396" s="72"/>
      <c r="H396" s="29"/>
      <c r="I396" s="29"/>
      <c r="J396" s="72"/>
      <c r="K396" s="72"/>
      <c r="L396" s="72"/>
      <c r="M396" s="72"/>
      <c r="N396" s="72"/>
      <c r="O396" s="72"/>
      <c r="P396" s="72"/>
    </row>
    <row r="397" spans="1:16">
      <c r="A397" s="70"/>
      <c r="B397" s="70"/>
      <c r="C397" s="70"/>
      <c r="D397" s="71"/>
      <c r="E397" s="72"/>
      <c r="F397" s="72"/>
      <c r="G397" s="72"/>
      <c r="H397" s="29"/>
      <c r="I397" s="29"/>
      <c r="J397" s="72"/>
      <c r="K397" s="72"/>
      <c r="L397" s="72"/>
      <c r="M397" s="72"/>
      <c r="N397" s="72"/>
      <c r="O397" s="72"/>
      <c r="P397" s="72"/>
    </row>
    <row r="398" spans="1:16">
      <c r="A398" s="70"/>
      <c r="B398" s="70"/>
      <c r="C398" s="70"/>
      <c r="D398" s="71"/>
      <c r="E398" s="72"/>
      <c r="F398" s="72"/>
      <c r="G398" s="72"/>
      <c r="H398" s="29"/>
      <c r="I398" s="29"/>
      <c r="J398" s="72"/>
      <c r="K398" s="72"/>
      <c r="L398" s="72"/>
      <c r="M398" s="72"/>
      <c r="N398" s="72"/>
      <c r="O398" s="72"/>
      <c r="P398" s="72"/>
    </row>
    <row r="399" spans="1:16">
      <c r="A399" s="70"/>
      <c r="B399" s="70"/>
      <c r="C399" s="70"/>
      <c r="D399" s="71"/>
      <c r="E399" s="72"/>
      <c r="F399" s="72"/>
      <c r="G399" s="72"/>
      <c r="H399" s="29"/>
      <c r="I399" s="29"/>
      <c r="J399" s="72"/>
      <c r="K399" s="72"/>
      <c r="L399" s="72"/>
      <c r="M399" s="72"/>
      <c r="N399" s="72"/>
      <c r="O399" s="72"/>
      <c r="P399" s="72"/>
    </row>
    <row r="400" spans="1:16">
      <c r="A400" s="70"/>
      <c r="B400" s="70"/>
      <c r="C400" s="70"/>
      <c r="D400" s="71"/>
      <c r="E400" s="72"/>
      <c r="F400" s="72"/>
      <c r="G400" s="72"/>
      <c r="H400" s="29"/>
      <c r="I400" s="29"/>
      <c r="J400" s="72"/>
      <c r="K400" s="72"/>
      <c r="L400" s="72"/>
      <c r="M400" s="72"/>
      <c r="N400" s="72"/>
      <c r="O400" s="72"/>
      <c r="P400" s="72"/>
    </row>
    <row r="401" spans="1:16">
      <c r="A401" s="70"/>
      <c r="B401" s="70"/>
      <c r="C401" s="70"/>
      <c r="D401" s="71"/>
      <c r="E401" s="72"/>
      <c r="F401" s="72"/>
      <c r="G401" s="72"/>
      <c r="H401" s="29"/>
      <c r="I401" s="29"/>
      <c r="J401" s="72"/>
      <c r="K401" s="72"/>
      <c r="L401" s="72"/>
      <c r="M401" s="72"/>
      <c r="N401" s="72"/>
      <c r="O401" s="72"/>
      <c r="P401" s="72"/>
    </row>
    <row r="402" spans="1:16">
      <c r="A402" s="70"/>
      <c r="B402" s="70"/>
      <c r="C402" s="70"/>
      <c r="D402" s="71"/>
      <c r="E402" s="72"/>
      <c r="F402" s="72"/>
      <c r="G402" s="72"/>
      <c r="H402" s="29"/>
      <c r="I402" s="29"/>
      <c r="J402" s="72"/>
      <c r="K402" s="72"/>
      <c r="L402" s="72"/>
      <c r="M402" s="72"/>
      <c r="N402" s="72"/>
      <c r="O402" s="72"/>
      <c r="P402" s="72"/>
    </row>
    <row r="403" spans="1:16">
      <c r="A403" s="70"/>
      <c r="B403" s="70"/>
      <c r="C403" s="70"/>
      <c r="D403" s="71"/>
      <c r="E403" s="72"/>
      <c r="F403" s="72"/>
      <c r="G403" s="72"/>
      <c r="H403" s="29"/>
      <c r="I403" s="29"/>
      <c r="J403" s="72"/>
      <c r="K403" s="72"/>
      <c r="L403" s="72"/>
      <c r="M403" s="72"/>
      <c r="N403" s="72"/>
      <c r="O403" s="72"/>
      <c r="P403" s="72"/>
    </row>
    <row r="404" spans="1:16">
      <c r="A404" s="70"/>
      <c r="B404" s="70"/>
      <c r="C404" s="70"/>
      <c r="D404" s="71"/>
      <c r="E404" s="72"/>
      <c r="F404" s="72"/>
      <c r="G404" s="72"/>
      <c r="H404" s="29"/>
      <c r="I404" s="29"/>
      <c r="J404" s="72"/>
      <c r="K404" s="72"/>
      <c r="L404" s="72"/>
      <c r="M404" s="72"/>
      <c r="N404" s="72"/>
      <c r="O404" s="72"/>
      <c r="P404" s="72"/>
    </row>
    <row r="405" spans="1:16">
      <c r="A405" s="70"/>
      <c r="B405" s="70"/>
      <c r="C405" s="70"/>
      <c r="D405" s="71"/>
      <c r="E405" s="72"/>
      <c r="F405" s="72"/>
      <c r="G405" s="72"/>
      <c r="H405" s="29"/>
      <c r="I405" s="29"/>
      <c r="J405" s="72"/>
      <c r="K405" s="72"/>
      <c r="L405" s="72"/>
      <c r="M405" s="72"/>
      <c r="N405" s="72"/>
      <c r="O405" s="72"/>
      <c r="P405" s="72"/>
    </row>
    <row r="406" spans="1:16">
      <c r="A406" s="70"/>
      <c r="B406" s="70"/>
      <c r="C406" s="70"/>
      <c r="D406" s="71"/>
      <c r="E406" s="72"/>
      <c r="F406" s="72"/>
      <c r="G406" s="72"/>
      <c r="H406" s="29"/>
      <c r="I406" s="29"/>
      <c r="J406" s="72"/>
      <c r="K406" s="72"/>
      <c r="L406" s="72"/>
      <c r="M406" s="72"/>
      <c r="N406" s="72"/>
      <c r="O406" s="72"/>
      <c r="P406" s="72"/>
    </row>
    <row r="407" spans="1:16">
      <c r="A407" s="70"/>
      <c r="B407" s="70"/>
      <c r="C407" s="70"/>
      <c r="D407" s="71"/>
      <c r="E407" s="72"/>
      <c r="F407" s="72"/>
      <c r="G407" s="72"/>
      <c r="H407" s="29"/>
      <c r="I407" s="29"/>
      <c r="J407" s="72"/>
      <c r="K407" s="72"/>
      <c r="L407" s="72"/>
      <c r="M407" s="72"/>
      <c r="N407" s="72"/>
      <c r="O407" s="72"/>
      <c r="P407" s="72"/>
    </row>
    <row r="408" spans="1:16">
      <c r="A408" s="70"/>
      <c r="B408" s="70"/>
      <c r="C408" s="70"/>
      <c r="D408" s="71"/>
      <c r="E408" s="72"/>
      <c r="F408" s="72"/>
      <c r="G408" s="72"/>
      <c r="H408" s="29"/>
      <c r="I408" s="29"/>
      <c r="J408" s="72"/>
      <c r="K408" s="72"/>
      <c r="L408" s="72"/>
      <c r="M408" s="72"/>
      <c r="N408" s="72"/>
      <c r="O408" s="72"/>
      <c r="P408" s="72"/>
    </row>
    <row r="409" spans="1:16">
      <c r="A409" s="70"/>
      <c r="B409" s="70"/>
      <c r="C409" s="70"/>
      <c r="D409" s="71"/>
      <c r="E409" s="72"/>
      <c r="F409" s="72"/>
      <c r="G409" s="72"/>
      <c r="H409" s="29"/>
      <c r="I409" s="29"/>
      <c r="J409" s="72"/>
      <c r="K409" s="72"/>
      <c r="L409" s="72"/>
      <c r="M409" s="72"/>
      <c r="N409" s="72"/>
      <c r="O409" s="72"/>
      <c r="P409" s="72"/>
    </row>
    <row r="410" spans="1:16">
      <c r="A410" s="70"/>
      <c r="B410" s="70"/>
      <c r="C410" s="70"/>
      <c r="D410" s="71"/>
      <c r="E410" s="72"/>
      <c r="F410" s="72"/>
      <c r="G410" s="72"/>
      <c r="H410" s="29"/>
      <c r="I410" s="29"/>
      <c r="J410" s="72"/>
      <c r="K410" s="72"/>
      <c r="L410" s="72"/>
      <c r="M410" s="72"/>
      <c r="N410" s="72"/>
      <c r="O410" s="72"/>
      <c r="P410" s="72"/>
    </row>
    <row r="411" spans="1:16">
      <c r="A411" s="70"/>
      <c r="B411" s="70"/>
      <c r="C411" s="70"/>
      <c r="D411" s="71"/>
      <c r="E411" s="72"/>
      <c r="F411" s="72"/>
      <c r="G411" s="72"/>
      <c r="H411" s="29"/>
      <c r="I411" s="29"/>
      <c r="J411" s="72"/>
      <c r="K411" s="72"/>
      <c r="L411" s="72"/>
      <c r="M411" s="72"/>
      <c r="N411" s="72"/>
      <c r="O411" s="72"/>
      <c r="P411" s="72"/>
    </row>
    <row r="412" spans="1:16">
      <c r="A412" s="70"/>
      <c r="B412" s="70"/>
      <c r="C412" s="70"/>
      <c r="D412" s="71"/>
      <c r="E412" s="72"/>
      <c r="F412" s="72"/>
      <c r="G412" s="72"/>
      <c r="H412" s="29"/>
      <c r="I412" s="29"/>
      <c r="J412" s="72"/>
      <c r="K412" s="72"/>
      <c r="L412" s="72"/>
      <c r="M412" s="72"/>
      <c r="N412" s="72"/>
      <c r="O412" s="72"/>
      <c r="P412" s="72"/>
    </row>
    <row r="413" spans="1:16">
      <c r="A413" s="70"/>
      <c r="B413" s="70"/>
      <c r="C413" s="70"/>
      <c r="D413" s="71"/>
      <c r="E413" s="72"/>
      <c r="F413" s="72"/>
      <c r="G413" s="72"/>
      <c r="H413" s="29"/>
      <c r="I413" s="29"/>
      <c r="J413" s="72"/>
      <c r="K413" s="72"/>
      <c r="L413" s="72"/>
      <c r="M413" s="72"/>
      <c r="N413" s="72"/>
      <c r="O413" s="72"/>
      <c r="P413" s="72"/>
    </row>
    <row r="414" spans="1:16">
      <c r="A414" s="70"/>
      <c r="B414" s="70"/>
      <c r="C414" s="70"/>
      <c r="D414" s="71"/>
      <c r="E414" s="72"/>
      <c r="F414" s="72"/>
      <c r="G414" s="72"/>
      <c r="H414" s="29"/>
      <c r="I414" s="29"/>
      <c r="J414" s="72"/>
      <c r="K414" s="72"/>
      <c r="L414" s="72"/>
      <c r="M414" s="72"/>
      <c r="N414" s="72"/>
      <c r="O414" s="72"/>
      <c r="P414" s="72"/>
    </row>
    <row r="415" spans="1:16">
      <c r="A415" s="70"/>
      <c r="B415" s="70"/>
      <c r="C415" s="70"/>
      <c r="D415" s="71"/>
      <c r="E415" s="72"/>
      <c r="F415" s="72"/>
      <c r="G415" s="72"/>
      <c r="H415" s="29"/>
      <c r="I415" s="29"/>
      <c r="J415" s="72"/>
      <c r="K415" s="72"/>
      <c r="L415" s="72"/>
      <c r="M415" s="72"/>
      <c r="N415" s="72"/>
      <c r="O415" s="72"/>
      <c r="P415" s="72"/>
    </row>
    <row r="416" spans="1:16">
      <c r="A416" s="70"/>
      <c r="B416" s="70"/>
      <c r="C416" s="70"/>
      <c r="D416" s="71"/>
      <c r="E416" s="72"/>
      <c r="F416" s="72"/>
      <c r="G416" s="72"/>
      <c r="H416" s="29"/>
      <c r="I416" s="29"/>
      <c r="J416" s="72"/>
      <c r="K416" s="72"/>
      <c r="L416" s="72"/>
      <c r="M416" s="72"/>
      <c r="N416" s="72"/>
      <c r="O416" s="72"/>
      <c r="P416" s="72"/>
    </row>
    <row r="417" spans="1:16">
      <c r="A417" s="70"/>
      <c r="B417" s="70"/>
      <c r="C417" s="70"/>
      <c r="D417" s="71"/>
      <c r="E417" s="72"/>
      <c r="F417" s="72"/>
      <c r="G417" s="72"/>
      <c r="H417" s="29"/>
      <c r="I417" s="29"/>
      <c r="J417" s="72"/>
      <c r="K417" s="72"/>
      <c r="L417" s="72"/>
      <c r="M417" s="72"/>
      <c r="N417" s="72"/>
      <c r="O417" s="72"/>
      <c r="P417" s="72"/>
    </row>
    <row r="418" spans="1:16">
      <c r="A418" s="70"/>
      <c r="B418" s="70"/>
      <c r="C418" s="70"/>
      <c r="D418" s="71"/>
      <c r="E418" s="72"/>
      <c r="F418" s="72"/>
      <c r="G418" s="72"/>
      <c r="H418" s="29"/>
      <c r="I418" s="29"/>
      <c r="J418" s="72"/>
      <c r="K418" s="72"/>
      <c r="L418" s="72"/>
      <c r="M418" s="72"/>
      <c r="N418" s="72"/>
      <c r="O418" s="72"/>
      <c r="P418" s="72"/>
    </row>
    <row r="419" spans="1:16">
      <c r="A419" s="70"/>
      <c r="B419" s="70"/>
      <c r="C419" s="70"/>
      <c r="D419" s="71"/>
      <c r="E419" s="72"/>
      <c r="F419" s="72"/>
      <c r="G419" s="72"/>
      <c r="H419" s="29"/>
      <c r="I419" s="29"/>
      <c r="J419" s="72"/>
      <c r="K419" s="72"/>
      <c r="L419" s="72"/>
      <c r="M419" s="72"/>
      <c r="N419" s="72"/>
      <c r="O419" s="72"/>
      <c r="P419" s="72"/>
    </row>
    <row r="420" spans="1:16">
      <c r="A420" s="70"/>
      <c r="B420" s="70"/>
      <c r="C420" s="70"/>
      <c r="D420" s="71"/>
      <c r="E420" s="72"/>
      <c r="F420" s="72"/>
      <c r="G420" s="72"/>
      <c r="H420" s="29"/>
      <c r="I420" s="29"/>
      <c r="J420" s="72"/>
      <c r="K420" s="72"/>
      <c r="L420" s="72"/>
      <c r="M420" s="72"/>
      <c r="N420" s="72"/>
      <c r="O420" s="72"/>
      <c r="P420" s="72"/>
    </row>
    <row r="421" spans="1:16">
      <c r="A421" s="70"/>
      <c r="B421" s="70"/>
      <c r="C421" s="70"/>
      <c r="D421" s="71"/>
      <c r="E421" s="72"/>
      <c r="F421" s="72"/>
      <c r="G421" s="72"/>
      <c r="H421" s="29"/>
      <c r="I421" s="29"/>
      <c r="J421" s="72"/>
      <c r="K421" s="72"/>
      <c r="L421" s="72"/>
      <c r="M421" s="72"/>
      <c r="N421" s="72"/>
      <c r="O421" s="72"/>
      <c r="P421" s="72"/>
    </row>
    <row r="422" spans="1:16">
      <c r="A422" s="70"/>
      <c r="B422" s="70"/>
      <c r="C422" s="70"/>
      <c r="D422" s="71"/>
      <c r="E422" s="72"/>
      <c r="F422" s="72"/>
      <c r="G422" s="72"/>
      <c r="H422" s="29"/>
      <c r="I422" s="29"/>
      <c r="J422" s="72"/>
      <c r="K422" s="72"/>
      <c r="L422" s="72"/>
      <c r="M422" s="72"/>
      <c r="N422" s="72"/>
      <c r="O422" s="72"/>
      <c r="P422" s="72"/>
    </row>
    <row r="423" spans="1:16">
      <c r="A423" s="70"/>
      <c r="B423" s="70"/>
      <c r="C423" s="70"/>
      <c r="D423" s="71"/>
      <c r="E423" s="72"/>
      <c r="F423" s="72"/>
      <c r="G423" s="72"/>
      <c r="H423" s="29"/>
      <c r="I423" s="29"/>
      <c r="J423" s="72"/>
      <c r="K423" s="72"/>
      <c r="L423" s="72"/>
      <c r="M423" s="72"/>
      <c r="N423" s="72"/>
      <c r="O423" s="72"/>
      <c r="P423" s="72"/>
    </row>
    <row r="424" spans="1:16">
      <c r="A424" s="70"/>
      <c r="B424" s="70"/>
      <c r="C424" s="70"/>
      <c r="D424" s="71"/>
      <c r="E424" s="72"/>
      <c r="F424" s="72"/>
      <c r="G424" s="72"/>
      <c r="H424" s="29"/>
      <c r="I424" s="29"/>
      <c r="J424" s="72"/>
      <c r="K424" s="72"/>
      <c r="L424" s="72"/>
      <c r="M424" s="72"/>
      <c r="N424" s="72"/>
      <c r="O424" s="72"/>
      <c r="P424" s="72"/>
    </row>
    <row r="425" spans="1:16">
      <c r="A425" s="70"/>
      <c r="B425" s="70"/>
      <c r="C425" s="70"/>
      <c r="D425" s="71"/>
      <c r="E425" s="72"/>
      <c r="F425" s="72"/>
      <c r="G425" s="72"/>
      <c r="H425" s="29"/>
      <c r="I425" s="29"/>
      <c r="J425" s="72"/>
      <c r="K425" s="72"/>
      <c r="L425" s="72"/>
      <c r="M425" s="72"/>
      <c r="N425" s="72"/>
      <c r="O425" s="72"/>
      <c r="P425" s="72"/>
    </row>
    <row r="426" spans="1:16">
      <c r="A426" s="70"/>
      <c r="B426" s="70"/>
      <c r="C426" s="70"/>
      <c r="D426" s="71"/>
      <c r="E426" s="72"/>
      <c r="F426" s="72"/>
      <c r="G426" s="72"/>
      <c r="H426" s="29"/>
      <c r="I426" s="29"/>
      <c r="J426" s="72"/>
      <c r="K426" s="72"/>
      <c r="L426" s="72"/>
      <c r="M426" s="72"/>
      <c r="N426" s="72"/>
      <c r="O426" s="72"/>
      <c r="P426" s="72"/>
    </row>
    <row r="427" spans="1:16">
      <c r="A427" s="70"/>
      <c r="B427" s="70"/>
      <c r="C427" s="70"/>
      <c r="D427" s="71"/>
      <c r="E427" s="72"/>
      <c r="F427" s="72"/>
      <c r="G427" s="72"/>
      <c r="H427" s="29"/>
      <c r="I427" s="29"/>
      <c r="J427" s="72"/>
      <c r="K427" s="72"/>
      <c r="L427" s="72"/>
      <c r="M427" s="72"/>
      <c r="N427" s="72"/>
      <c r="O427" s="72"/>
      <c r="P427" s="72"/>
    </row>
    <row r="428" spans="1:16">
      <c r="A428" s="70"/>
      <c r="B428" s="70"/>
      <c r="C428" s="70"/>
      <c r="D428" s="71"/>
      <c r="E428" s="72"/>
      <c r="F428" s="72"/>
      <c r="G428" s="72"/>
      <c r="H428" s="29"/>
      <c r="I428" s="29"/>
      <c r="J428" s="72"/>
      <c r="K428" s="72"/>
      <c r="L428" s="72"/>
      <c r="M428" s="72"/>
      <c r="N428" s="72"/>
      <c r="O428" s="72"/>
      <c r="P428" s="72"/>
    </row>
    <row r="429" spans="1:16">
      <c r="A429" s="70"/>
      <c r="B429" s="70"/>
      <c r="C429" s="70"/>
      <c r="D429" s="71"/>
      <c r="E429" s="72"/>
      <c r="F429" s="72"/>
      <c r="G429" s="72"/>
      <c r="H429" s="29"/>
      <c r="I429" s="29"/>
      <c r="J429" s="72"/>
      <c r="K429" s="72"/>
      <c r="L429" s="72"/>
      <c r="M429" s="72"/>
      <c r="N429" s="72"/>
      <c r="O429" s="72"/>
      <c r="P429" s="72"/>
    </row>
    <row r="430" spans="1:16">
      <c r="A430" s="70"/>
      <c r="B430" s="70"/>
      <c r="C430" s="70"/>
      <c r="D430" s="71"/>
      <c r="E430" s="72"/>
      <c r="F430" s="72"/>
      <c r="G430" s="72"/>
      <c r="H430" s="29"/>
      <c r="I430" s="29"/>
      <c r="J430" s="72"/>
      <c r="K430" s="72"/>
      <c r="L430" s="72"/>
      <c r="M430" s="72"/>
      <c r="N430" s="72"/>
      <c r="O430" s="72"/>
      <c r="P430" s="72"/>
    </row>
    <row r="431" spans="1:16">
      <c r="A431" s="70"/>
      <c r="B431" s="70"/>
      <c r="C431" s="70"/>
      <c r="D431" s="71"/>
      <c r="E431" s="72"/>
      <c r="F431" s="72"/>
      <c r="G431" s="72"/>
      <c r="H431" s="29"/>
      <c r="I431" s="29"/>
      <c r="J431" s="72"/>
      <c r="K431" s="72"/>
      <c r="L431" s="72"/>
      <c r="M431" s="72"/>
      <c r="N431" s="72"/>
      <c r="O431" s="72"/>
      <c r="P431" s="72"/>
    </row>
    <row r="432" spans="1:16">
      <c r="A432" s="70"/>
      <c r="B432" s="70"/>
      <c r="C432" s="70"/>
      <c r="D432" s="71"/>
      <c r="E432" s="72"/>
      <c r="F432" s="72"/>
      <c r="G432" s="72"/>
      <c r="H432" s="29"/>
      <c r="I432" s="29"/>
      <c r="J432" s="72"/>
      <c r="K432" s="72"/>
      <c r="L432" s="72"/>
      <c r="M432" s="72"/>
      <c r="N432" s="72"/>
      <c r="O432" s="72"/>
      <c r="P432" s="72"/>
    </row>
    <row r="433" spans="1:16">
      <c r="A433" s="70"/>
      <c r="B433" s="70"/>
      <c r="C433" s="70"/>
      <c r="D433" s="71"/>
      <c r="E433" s="72"/>
      <c r="F433" s="72"/>
      <c r="G433" s="72"/>
      <c r="H433" s="29"/>
      <c r="I433" s="29"/>
      <c r="J433" s="72"/>
      <c r="K433" s="72"/>
      <c r="L433" s="72"/>
      <c r="M433" s="72"/>
      <c r="N433" s="72"/>
      <c r="O433" s="72"/>
      <c r="P433" s="72"/>
    </row>
    <row r="434" spans="1:16">
      <c r="A434" s="70"/>
      <c r="B434" s="70"/>
      <c r="C434" s="70"/>
      <c r="D434" s="71"/>
      <c r="E434" s="72"/>
      <c r="F434" s="72"/>
      <c r="G434" s="72"/>
      <c r="H434" s="29"/>
      <c r="I434" s="29"/>
      <c r="J434" s="72"/>
      <c r="K434" s="72"/>
      <c r="L434" s="72"/>
      <c r="M434" s="72"/>
      <c r="N434" s="72"/>
      <c r="O434" s="72"/>
      <c r="P434" s="72"/>
    </row>
    <row r="435" spans="1:16">
      <c r="A435" s="70"/>
      <c r="B435" s="70"/>
      <c r="C435" s="70"/>
      <c r="D435" s="71"/>
      <c r="E435" s="72"/>
      <c r="F435" s="72"/>
      <c r="G435" s="72"/>
      <c r="H435" s="29"/>
      <c r="I435" s="29"/>
      <c r="J435" s="72"/>
      <c r="K435" s="72"/>
      <c r="L435" s="72"/>
      <c r="M435" s="72"/>
      <c r="N435" s="72"/>
      <c r="O435" s="72"/>
      <c r="P435" s="72"/>
    </row>
    <row r="436" spans="1:16">
      <c r="A436" s="70"/>
      <c r="B436" s="70"/>
      <c r="C436" s="70"/>
      <c r="D436" s="71"/>
      <c r="E436" s="72"/>
      <c r="F436" s="72"/>
      <c r="G436" s="72"/>
      <c r="H436" s="29"/>
      <c r="I436" s="29"/>
      <c r="J436" s="72"/>
      <c r="K436" s="72"/>
      <c r="L436" s="72"/>
      <c r="M436" s="72"/>
      <c r="N436" s="72"/>
      <c r="O436" s="72"/>
      <c r="P436" s="72"/>
    </row>
    <row r="437" spans="1:16">
      <c r="A437" s="70"/>
      <c r="B437" s="70"/>
      <c r="C437" s="70"/>
      <c r="D437" s="71"/>
      <c r="E437" s="72"/>
      <c r="F437" s="72"/>
      <c r="G437" s="72"/>
      <c r="H437" s="29"/>
      <c r="I437" s="29"/>
      <c r="J437" s="72"/>
      <c r="K437" s="72"/>
      <c r="L437" s="72"/>
      <c r="M437" s="72"/>
      <c r="N437" s="72"/>
      <c r="O437" s="72"/>
      <c r="P437" s="72"/>
    </row>
    <row r="438" spans="1:16">
      <c r="A438" s="70"/>
      <c r="B438" s="70"/>
      <c r="C438" s="70"/>
      <c r="D438" s="71"/>
      <c r="E438" s="72"/>
      <c r="F438" s="72"/>
      <c r="G438" s="72"/>
      <c r="H438" s="29"/>
      <c r="I438" s="29"/>
      <c r="J438" s="72"/>
      <c r="K438" s="72"/>
      <c r="L438" s="72"/>
      <c r="M438" s="72"/>
      <c r="N438" s="72"/>
      <c r="O438" s="72"/>
      <c r="P438" s="72"/>
    </row>
    <row r="439" spans="1:16">
      <c r="A439" s="70"/>
      <c r="B439" s="70"/>
      <c r="C439" s="70"/>
      <c r="D439" s="71"/>
      <c r="E439" s="72"/>
      <c r="F439" s="72"/>
      <c r="G439" s="72"/>
      <c r="H439" s="29"/>
      <c r="I439" s="29"/>
      <c r="J439" s="72"/>
      <c r="K439" s="72"/>
      <c r="L439" s="72"/>
      <c r="M439" s="72"/>
      <c r="N439" s="72"/>
      <c r="O439" s="72"/>
      <c r="P439" s="72"/>
    </row>
    <row r="440" spans="1:16">
      <c r="A440" s="70"/>
      <c r="B440" s="70"/>
      <c r="C440" s="70"/>
      <c r="D440" s="71"/>
      <c r="E440" s="72"/>
      <c r="F440" s="72"/>
      <c r="G440" s="72"/>
      <c r="H440" s="29"/>
      <c r="I440" s="29"/>
      <c r="J440" s="72"/>
      <c r="K440" s="72"/>
      <c r="L440" s="72"/>
      <c r="M440" s="72"/>
      <c r="N440" s="72"/>
      <c r="O440" s="72"/>
      <c r="P440" s="72"/>
    </row>
    <row r="441" spans="1:16">
      <c r="A441" s="70"/>
      <c r="B441" s="70"/>
      <c r="C441" s="70"/>
      <c r="D441" s="71"/>
      <c r="E441" s="72"/>
      <c r="F441" s="72"/>
      <c r="G441" s="72"/>
      <c r="H441" s="29"/>
      <c r="I441" s="29"/>
      <c r="J441" s="72"/>
      <c r="K441" s="72"/>
      <c r="L441" s="72"/>
      <c r="M441" s="72"/>
      <c r="N441" s="72"/>
      <c r="O441" s="72"/>
      <c r="P441" s="72"/>
    </row>
    <row r="442" spans="1:16">
      <c r="A442" s="70"/>
      <c r="B442" s="70"/>
      <c r="C442" s="70"/>
      <c r="D442" s="71"/>
      <c r="E442" s="72"/>
      <c r="F442" s="72"/>
      <c r="G442" s="72"/>
      <c r="H442" s="29"/>
      <c r="I442" s="29"/>
      <c r="J442" s="72"/>
      <c r="K442" s="72"/>
      <c r="L442" s="72"/>
      <c r="M442" s="72"/>
      <c r="N442" s="72"/>
      <c r="O442" s="72"/>
      <c r="P442" s="72"/>
    </row>
    <row r="443" spans="1:16">
      <c r="A443" s="70"/>
      <c r="B443" s="70"/>
      <c r="C443" s="70"/>
      <c r="D443" s="71"/>
      <c r="E443" s="72"/>
      <c r="F443" s="72"/>
      <c r="G443" s="72"/>
      <c r="H443" s="29"/>
      <c r="I443" s="29"/>
      <c r="J443" s="72"/>
      <c r="K443" s="72"/>
      <c r="L443" s="72"/>
      <c r="M443" s="72"/>
      <c r="N443" s="72"/>
      <c r="O443" s="72"/>
      <c r="P443" s="72"/>
    </row>
    <row r="444" spans="1:16">
      <c r="A444" s="70"/>
      <c r="B444" s="70"/>
      <c r="C444" s="70"/>
      <c r="D444" s="71"/>
      <c r="E444" s="72"/>
      <c r="F444" s="72"/>
      <c r="G444" s="72"/>
      <c r="H444" s="29"/>
      <c r="I444" s="29"/>
      <c r="J444" s="72"/>
      <c r="K444" s="72"/>
      <c r="L444" s="72"/>
      <c r="M444" s="72"/>
      <c r="N444" s="72"/>
      <c r="O444" s="72"/>
      <c r="P444" s="72"/>
    </row>
    <row r="445" spans="1:16">
      <c r="A445" s="70"/>
      <c r="B445" s="70"/>
      <c r="C445" s="70"/>
      <c r="D445" s="71"/>
      <c r="E445" s="72"/>
      <c r="F445" s="72"/>
      <c r="G445" s="72"/>
      <c r="H445" s="29"/>
      <c r="I445" s="29"/>
      <c r="J445" s="72"/>
      <c r="K445" s="72"/>
      <c r="L445" s="72"/>
      <c r="M445" s="72"/>
      <c r="N445" s="72"/>
      <c r="O445" s="72"/>
      <c r="P445" s="72"/>
    </row>
    <row r="446" spans="1:16">
      <c r="A446" s="70"/>
      <c r="B446" s="70"/>
      <c r="C446" s="70"/>
      <c r="D446" s="71"/>
      <c r="E446" s="72"/>
      <c r="F446" s="72"/>
      <c r="G446" s="72"/>
      <c r="H446" s="29"/>
      <c r="I446" s="29"/>
      <c r="J446" s="72"/>
      <c r="K446" s="72"/>
      <c r="L446" s="72"/>
      <c r="M446" s="72"/>
      <c r="N446" s="72"/>
      <c r="O446" s="72"/>
      <c r="P446" s="72"/>
    </row>
    <row r="447" spans="1:16">
      <c r="A447" s="70"/>
      <c r="B447" s="70"/>
      <c r="C447" s="70"/>
      <c r="D447" s="71"/>
      <c r="E447" s="72"/>
      <c r="F447" s="72"/>
      <c r="G447" s="72"/>
      <c r="H447" s="29"/>
      <c r="I447" s="29"/>
      <c r="J447" s="72"/>
      <c r="K447" s="72"/>
      <c r="L447" s="72"/>
      <c r="M447" s="72"/>
      <c r="N447" s="72"/>
      <c r="O447" s="72"/>
      <c r="P447" s="72"/>
    </row>
    <row r="448" spans="1:16">
      <c r="A448" s="70"/>
      <c r="B448" s="70"/>
      <c r="C448" s="70"/>
      <c r="D448" s="71"/>
      <c r="E448" s="72"/>
      <c r="F448" s="72"/>
      <c r="G448" s="72"/>
      <c r="H448" s="29"/>
      <c r="I448" s="29"/>
      <c r="J448" s="72"/>
      <c r="K448" s="72"/>
      <c r="L448" s="72"/>
      <c r="M448" s="72"/>
      <c r="N448" s="72"/>
      <c r="O448" s="72"/>
      <c r="P448" s="72"/>
    </row>
    <row r="449" spans="1:16">
      <c r="A449" s="70"/>
      <c r="B449" s="70"/>
      <c r="C449" s="70"/>
      <c r="D449" s="71"/>
      <c r="E449" s="72"/>
      <c r="F449" s="72"/>
      <c r="G449" s="72"/>
      <c r="H449" s="29"/>
      <c r="I449" s="29"/>
      <c r="J449" s="72"/>
      <c r="K449" s="72"/>
      <c r="L449" s="72"/>
      <c r="M449" s="72"/>
      <c r="N449" s="72"/>
      <c r="O449" s="72"/>
      <c r="P449" s="72"/>
    </row>
    <row r="450" spans="1:16">
      <c r="A450" s="70"/>
      <c r="B450" s="70"/>
      <c r="C450" s="70"/>
      <c r="D450" s="71"/>
      <c r="E450" s="72"/>
      <c r="F450" s="72"/>
      <c r="G450" s="72"/>
      <c r="H450" s="29"/>
      <c r="I450" s="29"/>
      <c r="J450" s="72"/>
      <c r="K450" s="72"/>
      <c r="L450" s="72"/>
      <c r="M450" s="72"/>
      <c r="N450" s="72"/>
      <c r="O450" s="72"/>
      <c r="P450" s="72"/>
    </row>
    <row r="451" spans="1:16">
      <c r="A451" s="70"/>
      <c r="B451" s="70"/>
      <c r="C451" s="70"/>
      <c r="D451" s="71"/>
      <c r="E451" s="72"/>
      <c r="F451" s="72"/>
      <c r="G451" s="72"/>
      <c r="H451" s="29"/>
      <c r="I451" s="29"/>
      <c r="J451" s="72"/>
      <c r="K451" s="72"/>
      <c r="L451" s="72"/>
      <c r="M451" s="72"/>
      <c r="N451" s="72"/>
      <c r="O451" s="72"/>
      <c r="P451" s="72"/>
    </row>
    <row r="452" spans="1:16">
      <c r="A452" s="70"/>
      <c r="B452" s="70"/>
      <c r="C452" s="70"/>
      <c r="D452" s="71"/>
      <c r="E452" s="72"/>
      <c r="F452" s="72"/>
      <c r="G452" s="72"/>
      <c r="H452" s="29"/>
      <c r="I452" s="29"/>
      <c r="J452" s="72"/>
      <c r="K452" s="72"/>
      <c r="L452" s="72"/>
      <c r="M452" s="72"/>
      <c r="N452" s="72"/>
      <c r="O452" s="72"/>
      <c r="P452" s="72"/>
    </row>
    <row r="453" spans="1:16">
      <c r="A453" s="70"/>
      <c r="B453" s="70"/>
      <c r="C453" s="70"/>
      <c r="D453" s="71"/>
      <c r="E453" s="72"/>
      <c r="F453" s="72"/>
      <c r="G453" s="72"/>
      <c r="H453" s="29"/>
      <c r="I453" s="29"/>
      <c r="J453" s="72"/>
      <c r="K453" s="72"/>
      <c r="L453" s="72"/>
      <c r="M453" s="72"/>
      <c r="N453" s="72"/>
      <c r="O453" s="72"/>
      <c r="P453" s="72"/>
    </row>
    <row r="454" spans="1:16">
      <c r="A454" s="70"/>
      <c r="B454" s="70"/>
      <c r="C454" s="70"/>
      <c r="D454" s="71"/>
      <c r="E454" s="72"/>
      <c r="F454" s="72"/>
      <c r="G454" s="72"/>
      <c r="H454" s="29"/>
      <c r="I454" s="29"/>
      <c r="J454" s="72"/>
      <c r="K454" s="72"/>
      <c r="L454" s="72"/>
      <c r="M454" s="72"/>
      <c r="N454" s="72"/>
      <c r="O454" s="72"/>
      <c r="P454" s="72"/>
    </row>
    <row r="455" spans="1:16">
      <c r="A455" s="70"/>
      <c r="B455" s="70"/>
      <c r="C455" s="70"/>
      <c r="D455" s="71"/>
      <c r="E455" s="72"/>
      <c r="F455" s="72"/>
      <c r="G455" s="72"/>
      <c r="H455" s="29"/>
      <c r="I455" s="29"/>
      <c r="J455" s="72"/>
      <c r="K455" s="72"/>
      <c r="L455" s="72"/>
      <c r="M455" s="72"/>
      <c r="N455" s="72"/>
      <c r="O455" s="72"/>
      <c r="P455" s="72"/>
    </row>
    <row r="456" spans="1:16">
      <c r="A456" s="70"/>
      <c r="B456" s="70"/>
      <c r="C456" s="70"/>
      <c r="D456" s="71"/>
      <c r="E456" s="72"/>
      <c r="F456" s="72"/>
      <c r="G456" s="72"/>
      <c r="H456" s="29"/>
      <c r="I456" s="29"/>
      <c r="J456" s="72"/>
      <c r="K456" s="72"/>
      <c r="L456" s="72"/>
      <c r="M456" s="72"/>
      <c r="N456" s="72"/>
      <c r="O456" s="72"/>
      <c r="P456" s="72"/>
    </row>
    <row r="457" spans="1:16">
      <c r="A457" s="70"/>
      <c r="B457" s="70"/>
      <c r="C457" s="70"/>
      <c r="D457" s="71"/>
      <c r="E457" s="72"/>
      <c r="F457" s="72"/>
      <c r="G457" s="72"/>
      <c r="H457" s="29"/>
      <c r="I457" s="29"/>
      <c r="J457" s="72"/>
      <c r="K457" s="72"/>
      <c r="L457" s="72"/>
      <c r="M457" s="72"/>
      <c r="N457" s="72"/>
      <c r="O457" s="72"/>
      <c r="P457" s="72"/>
    </row>
    <row r="458" spans="1:16">
      <c r="A458" s="70"/>
      <c r="B458" s="70"/>
      <c r="C458" s="70"/>
      <c r="D458" s="71"/>
      <c r="E458" s="72"/>
      <c r="F458" s="72"/>
      <c r="G458" s="72"/>
      <c r="H458" s="29"/>
      <c r="I458" s="29"/>
      <c r="J458" s="72"/>
      <c r="K458" s="72"/>
      <c r="L458" s="72"/>
      <c r="M458" s="72"/>
      <c r="N458" s="72"/>
      <c r="O458" s="72"/>
      <c r="P458" s="72"/>
    </row>
    <row r="459" spans="1:16">
      <c r="A459" s="70"/>
      <c r="B459" s="70"/>
      <c r="C459" s="70"/>
      <c r="D459" s="71"/>
      <c r="E459" s="72"/>
      <c r="F459" s="72"/>
      <c r="G459" s="72"/>
      <c r="H459" s="29"/>
      <c r="I459" s="29"/>
      <c r="J459" s="72"/>
      <c r="K459" s="72"/>
      <c r="L459" s="72"/>
      <c r="M459" s="72"/>
      <c r="N459" s="72"/>
      <c r="O459" s="72"/>
      <c r="P459" s="72"/>
    </row>
    <row r="460" spans="1:16">
      <c r="A460" s="70"/>
      <c r="B460" s="70"/>
      <c r="C460" s="70"/>
      <c r="D460" s="71"/>
      <c r="E460" s="72"/>
      <c r="F460" s="72"/>
      <c r="G460" s="72"/>
      <c r="H460" s="29"/>
      <c r="I460" s="29"/>
      <c r="J460" s="72"/>
      <c r="K460" s="72"/>
      <c r="L460" s="72"/>
      <c r="M460" s="72"/>
      <c r="N460" s="72"/>
      <c r="O460" s="72"/>
      <c r="P460" s="72"/>
    </row>
    <row r="461" spans="1:16">
      <c r="C461" s="73"/>
      <c r="D461" s="74" t="s">
        <v>57</v>
      </c>
      <c r="E461" s="75" t="s">
        <v>58</v>
      </c>
      <c r="F461" s="76" t="s">
        <v>59</v>
      </c>
      <c r="G461" s="76"/>
      <c r="H461" s="77" t="s">
        <v>60</v>
      </c>
      <c r="P461" s="31"/>
    </row>
    <row r="462" spans="1:16">
      <c r="A462" s="78">
        <f>SUM(A463:A483)</f>
        <v>132</v>
      </c>
      <c r="B462" s="78"/>
      <c r="C462" s="79" t="s">
        <v>61</v>
      </c>
      <c r="D462" s="80"/>
      <c r="E462" s="76"/>
      <c r="F462" s="76"/>
      <c r="G462" s="76"/>
      <c r="H462" s="81"/>
      <c r="I462" s="82">
        <f>SUM(I464:I483)</f>
        <v>312.98799999999994</v>
      </c>
      <c r="L462" s="82">
        <f>SUM(L464:L483)</f>
        <v>857.07999999999993</v>
      </c>
      <c r="M462" s="82">
        <f>SUM(M464:M483)</f>
        <v>173.30999999999997</v>
      </c>
      <c r="P462" s="31"/>
    </row>
    <row r="463" spans="1:16">
      <c r="A463" s="83"/>
      <c r="B463" s="83"/>
      <c r="C463" s="84"/>
      <c r="D463" s="80"/>
      <c r="E463" s="76"/>
      <c r="F463" s="76"/>
      <c r="G463" s="76"/>
      <c r="H463" s="81"/>
      <c r="I463" s="82"/>
      <c r="L463" s="82"/>
      <c r="M463" s="82"/>
      <c r="P463" s="31"/>
    </row>
    <row r="464" spans="1:16">
      <c r="A464" s="85">
        <f>1</f>
        <v>1</v>
      </c>
      <c r="B464" s="85"/>
      <c r="C464" s="84" t="s">
        <v>62</v>
      </c>
      <c r="D464" s="86">
        <f>0.97</f>
        <v>0.97</v>
      </c>
      <c r="E464" s="87">
        <f>0.57</f>
        <v>0.56999999999999995</v>
      </c>
      <c r="F464" s="88">
        <f t="shared" ref="F464:F480" si="0">D464*E464</f>
        <v>0.55289999999999995</v>
      </c>
      <c r="G464" s="88"/>
      <c r="H464" s="88">
        <f>2*(D464+E464)</f>
        <v>3.08</v>
      </c>
      <c r="I464" s="88">
        <f t="shared" ref="I464:I483" si="1">A464*F464</f>
        <v>0.55289999999999995</v>
      </c>
      <c r="L464" s="88">
        <f t="shared" ref="L464:L483" si="2">A464*(H464-D464)</f>
        <v>2.1100000000000003</v>
      </c>
      <c r="M464" s="88">
        <f t="shared" ref="M464:M483" si="3">A464*D464</f>
        <v>0.97</v>
      </c>
      <c r="P464" s="89"/>
    </row>
    <row r="465" spans="1:13">
      <c r="A465" s="85">
        <f>1</f>
        <v>1</v>
      </c>
      <c r="B465" s="85"/>
      <c r="C465" s="84" t="s">
        <v>63</v>
      </c>
      <c r="D465" s="86">
        <f>0.97</f>
        <v>0.97</v>
      </c>
      <c r="E465" s="87">
        <f>0.57</f>
        <v>0.56999999999999995</v>
      </c>
      <c r="F465" s="88">
        <f t="shared" si="0"/>
        <v>0.55289999999999995</v>
      </c>
      <c r="G465" s="88"/>
      <c r="H465" s="88">
        <f>2*(D465+E465)</f>
        <v>3.08</v>
      </c>
      <c r="I465" s="88">
        <f t="shared" si="1"/>
        <v>0.55289999999999995</v>
      </c>
      <c r="L465" s="88">
        <f t="shared" si="2"/>
        <v>2.1100000000000003</v>
      </c>
      <c r="M465" s="88">
        <f t="shared" si="3"/>
        <v>0.97</v>
      </c>
    </row>
    <row r="466" spans="1:13">
      <c r="A466" s="85">
        <f>1</f>
        <v>1</v>
      </c>
      <c r="B466" s="85"/>
      <c r="C466" s="84" t="s">
        <v>64</v>
      </c>
      <c r="D466" s="86">
        <f>2.97</f>
        <v>2.97</v>
      </c>
      <c r="E466" s="87">
        <f>0.57</f>
        <v>0.56999999999999995</v>
      </c>
      <c r="F466" s="88">
        <f t="shared" si="0"/>
        <v>1.6929000000000001</v>
      </c>
      <c r="G466" s="88"/>
      <c r="H466" s="88">
        <f>(D466*2+4*E466)</f>
        <v>8.2200000000000006</v>
      </c>
      <c r="I466" s="88">
        <f t="shared" si="1"/>
        <v>1.6929000000000001</v>
      </c>
      <c r="L466" s="88">
        <f t="shared" si="2"/>
        <v>5.25</v>
      </c>
      <c r="M466" s="88">
        <f t="shared" si="3"/>
        <v>2.97</v>
      </c>
    </row>
    <row r="467" spans="1:13">
      <c r="A467" s="90">
        <f>1</f>
        <v>1</v>
      </c>
      <c r="B467" s="90"/>
      <c r="C467" s="84" t="s">
        <v>65</v>
      </c>
      <c r="D467" s="86">
        <f>0.53</f>
        <v>0.53</v>
      </c>
      <c r="E467" s="87">
        <f t="shared" ref="E467:E473" si="4">1.77</f>
        <v>1.77</v>
      </c>
      <c r="F467" s="88">
        <f t="shared" si="0"/>
        <v>0.93810000000000004</v>
      </c>
      <c r="G467" s="88"/>
      <c r="H467" s="88">
        <f>2*(D467+E467)</f>
        <v>4.5999999999999996</v>
      </c>
      <c r="I467" s="88">
        <f t="shared" si="1"/>
        <v>0.93810000000000004</v>
      </c>
      <c r="L467" s="88">
        <f t="shared" si="2"/>
        <v>4.0699999999999994</v>
      </c>
      <c r="M467" s="88">
        <f t="shared" si="3"/>
        <v>0.53</v>
      </c>
    </row>
    <row r="468" spans="1:13">
      <c r="A468" s="90">
        <f>1</f>
        <v>1</v>
      </c>
      <c r="B468" s="90"/>
      <c r="C468" s="84" t="s">
        <v>66</v>
      </c>
      <c r="D468" s="86">
        <f>0.77</f>
        <v>0.77</v>
      </c>
      <c r="E468" s="87">
        <f t="shared" si="4"/>
        <v>1.77</v>
      </c>
      <c r="F468" s="88">
        <f t="shared" si="0"/>
        <v>1.3629</v>
      </c>
      <c r="G468" s="88"/>
      <c r="H468" s="88">
        <f>2*(D468+E468)</f>
        <v>5.08</v>
      </c>
      <c r="I468" s="88">
        <f t="shared" si="1"/>
        <v>1.3629</v>
      </c>
      <c r="L468" s="88">
        <f t="shared" si="2"/>
        <v>4.3100000000000005</v>
      </c>
      <c r="M468" s="88">
        <f t="shared" si="3"/>
        <v>0.77</v>
      </c>
    </row>
    <row r="469" spans="1:13">
      <c r="A469" s="90">
        <f>1</f>
        <v>1</v>
      </c>
      <c r="B469" s="90"/>
      <c r="C469" s="84" t="s">
        <v>67</v>
      </c>
      <c r="D469" s="86">
        <f>0.77</f>
        <v>0.77</v>
      </c>
      <c r="E469" s="87">
        <f t="shared" si="4"/>
        <v>1.77</v>
      </c>
      <c r="F469" s="88">
        <f t="shared" si="0"/>
        <v>1.3629</v>
      </c>
      <c r="G469" s="88"/>
      <c r="H469" s="88">
        <f>2*(D469+E469)</f>
        <v>5.08</v>
      </c>
      <c r="I469" s="88">
        <f t="shared" si="1"/>
        <v>1.3629</v>
      </c>
      <c r="L469" s="88">
        <f t="shared" si="2"/>
        <v>4.3100000000000005</v>
      </c>
      <c r="M469" s="88">
        <f t="shared" si="3"/>
        <v>0.77</v>
      </c>
    </row>
    <row r="470" spans="1:13">
      <c r="A470" s="90">
        <f>10+16</f>
        <v>26</v>
      </c>
      <c r="B470" s="90"/>
      <c r="C470" s="84" t="s">
        <v>68</v>
      </c>
      <c r="D470" s="86">
        <f>1.17</f>
        <v>1.17</v>
      </c>
      <c r="E470" s="87">
        <f t="shared" si="4"/>
        <v>1.77</v>
      </c>
      <c r="F470" s="88">
        <f t="shared" si="0"/>
        <v>2.0709</v>
      </c>
      <c r="G470" s="88"/>
      <c r="H470" s="88">
        <f>2*(D470+E470)</f>
        <v>5.88</v>
      </c>
      <c r="I470" s="88">
        <f t="shared" si="1"/>
        <v>53.843400000000003</v>
      </c>
      <c r="L470" s="88">
        <f t="shared" si="2"/>
        <v>122.46</v>
      </c>
      <c r="M470" s="88">
        <f t="shared" si="3"/>
        <v>30.419999999999998</v>
      </c>
    </row>
    <row r="471" spans="1:13">
      <c r="A471" s="90">
        <f>10+13</f>
        <v>23</v>
      </c>
      <c r="B471" s="90"/>
      <c r="C471" s="84" t="s">
        <v>69</v>
      </c>
      <c r="D471" s="86">
        <f>1.17</f>
        <v>1.17</v>
      </c>
      <c r="E471" s="87">
        <f t="shared" si="4"/>
        <v>1.77</v>
      </c>
      <c r="F471" s="88">
        <f t="shared" si="0"/>
        <v>2.0709</v>
      </c>
      <c r="G471" s="88"/>
      <c r="H471" s="88">
        <f>2*(D471+E471)</f>
        <v>5.88</v>
      </c>
      <c r="I471" s="88">
        <f t="shared" si="1"/>
        <v>47.630699999999997</v>
      </c>
      <c r="L471" s="88">
        <f t="shared" si="2"/>
        <v>108.33</v>
      </c>
      <c r="M471" s="88">
        <f t="shared" si="3"/>
        <v>26.909999999999997</v>
      </c>
    </row>
    <row r="472" spans="1:13">
      <c r="A472" s="85">
        <f>8+14</f>
        <v>22</v>
      </c>
      <c r="B472" s="85"/>
      <c r="C472" s="84" t="s">
        <v>70</v>
      </c>
      <c r="D472" s="86">
        <f>1.57</f>
        <v>1.57</v>
      </c>
      <c r="E472" s="87">
        <f t="shared" si="4"/>
        <v>1.77</v>
      </c>
      <c r="F472" s="88">
        <f t="shared" si="0"/>
        <v>2.7789000000000001</v>
      </c>
      <c r="G472" s="88"/>
      <c r="H472" s="88">
        <f>3*(D472+E472)</f>
        <v>10.02</v>
      </c>
      <c r="I472" s="88">
        <f t="shared" si="1"/>
        <v>61.135800000000003</v>
      </c>
      <c r="L472" s="88">
        <f t="shared" si="2"/>
        <v>185.89999999999998</v>
      </c>
      <c r="M472" s="88">
        <f t="shared" si="3"/>
        <v>34.54</v>
      </c>
    </row>
    <row r="473" spans="1:13">
      <c r="A473" s="85">
        <f>7+13</f>
        <v>20</v>
      </c>
      <c r="B473" s="85"/>
      <c r="C473" s="84" t="s">
        <v>71</v>
      </c>
      <c r="D473" s="86">
        <f>1.57</f>
        <v>1.57</v>
      </c>
      <c r="E473" s="87">
        <f t="shared" si="4"/>
        <v>1.77</v>
      </c>
      <c r="F473" s="88">
        <f t="shared" si="0"/>
        <v>2.7789000000000001</v>
      </c>
      <c r="G473" s="88"/>
      <c r="H473" s="88">
        <f>3*(D473+E473)</f>
        <v>10.02</v>
      </c>
      <c r="I473" s="88">
        <f t="shared" si="1"/>
        <v>55.578000000000003</v>
      </c>
      <c r="L473" s="88">
        <f t="shared" si="2"/>
        <v>169</v>
      </c>
      <c r="M473" s="88">
        <f t="shared" si="3"/>
        <v>31.400000000000002</v>
      </c>
    </row>
    <row r="474" spans="1:13">
      <c r="A474" s="85">
        <f>6</f>
        <v>6</v>
      </c>
      <c r="B474" s="85"/>
      <c r="C474" s="84" t="s">
        <v>72</v>
      </c>
      <c r="D474" s="86">
        <f>1.17</f>
        <v>1.17</v>
      </c>
      <c r="E474" s="87">
        <f>2.07</f>
        <v>2.0699999999999998</v>
      </c>
      <c r="F474" s="88">
        <f t="shared" si="0"/>
        <v>2.4218999999999995</v>
      </c>
      <c r="G474" s="88"/>
      <c r="H474" s="88">
        <f>(D474*3+2*E474)</f>
        <v>7.6499999999999995</v>
      </c>
      <c r="I474" s="88">
        <f t="shared" si="1"/>
        <v>14.531399999999998</v>
      </c>
      <c r="L474" s="88">
        <f t="shared" si="2"/>
        <v>38.879999999999995</v>
      </c>
      <c r="M474" s="88">
        <f t="shared" si="3"/>
        <v>7.02</v>
      </c>
    </row>
    <row r="475" spans="1:13">
      <c r="A475" s="85">
        <f>3+1+1</f>
        <v>5</v>
      </c>
      <c r="B475" s="85"/>
      <c r="C475" s="84" t="s">
        <v>73</v>
      </c>
      <c r="D475" s="86">
        <f>1.17</f>
        <v>1.17</v>
      </c>
      <c r="E475" s="87">
        <f>2.07</f>
        <v>2.0699999999999998</v>
      </c>
      <c r="F475" s="88">
        <f t="shared" si="0"/>
        <v>2.4218999999999995</v>
      </c>
      <c r="G475" s="88"/>
      <c r="H475" s="88">
        <f>(D475*3+2*E475)</f>
        <v>7.6499999999999995</v>
      </c>
      <c r="I475" s="88">
        <f t="shared" si="1"/>
        <v>12.109499999999997</v>
      </c>
      <c r="L475" s="88">
        <f t="shared" si="2"/>
        <v>32.4</v>
      </c>
      <c r="M475" s="88">
        <f t="shared" si="3"/>
        <v>5.85</v>
      </c>
    </row>
    <row r="476" spans="1:13">
      <c r="A476" s="91">
        <f>1</f>
        <v>1</v>
      </c>
      <c r="B476" s="91"/>
      <c r="C476" s="84" t="s">
        <v>74</v>
      </c>
      <c r="D476" s="86">
        <f>0.97</f>
        <v>0.97</v>
      </c>
      <c r="E476" s="87">
        <f>0.57</f>
        <v>0.56999999999999995</v>
      </c>
      <c r="F476" s="88">
        <f t="shared" si="0"/>
        <v>0.55289999999999995</v>
      </c>
      <c r="G476" s="88"/>
      <c r="H476" s="88">
        <f>2*(D476+E476)</f>
        <v>3.08</v>
      </c>
      <c r="I476" s="88">
        <f t="shared" si="1"/>
        <v>0.55289999999999995</v>
      </c>
      <c r="L476" s="88">
        <f t="shared" si="2"/>
        <v>2.1100000000000003</v>
      </c>
      <c r="M476" s="88">
        <f t="shared" si="3"/>
        <v>0.97</v>
      </c>
    </row>
    <row r="477" spans="1:13">
      <c r="A477" s="91">
        <f>1</f>
        <v>1</v>
      </c>
      <c r="B477" s="91"/>
      <c r="C477" s="84" t="s">
        <v>75</v>
      </c>
      <c r="D477" s="86">
        <f>2.62</f>
        <v>2.62</v>
      </c>
      <c r="E477" s="87">
        <f>2.07</f>
        <v>2.0699999999999998</v>
      </c>
      <c r="F477" s="88">
        <f t="shared" si="0"/>
        <v>5.4234</v>
      </c>
      <c r="G477" s="88"/>
      <c r="H477" s="88">
        <f>3*(D477+E477)</f>
        <v>14.069999999999999</v>
      </c>
      <c r="I477" s="88">
        <f t="shared" si="1"/>
        <v>5.4234</v>
      </c>
      <c r="L477" s="88">
        <f t="shared" si="2"/>
        <v>11.45</v>
      </c>
      <c r="M477" s="88">
        <f t="shared" si="3"/>
        <v>2.62</v>
      </c>
    </row>
    <row r="478" spans="1:13">
      <c r="A478" s="91">
        <f>10</f>
        <v>10</v>
      </c>
      <c r="B478" s="91"/>
      <c r="C478" s="84" t="s">
        <v>76</v>
      </c>
      <c r="D478" s="86">
        <f>0.77</f>
        <v>0.77</v>
      </c>
      <c r="E478" s="87">
        <f>3.37</f>
        <v>3.37</v>
      </c>
      <c r="F478" s="88">
        <f t="shared" si="0"/>
        <v>2.5949</v>
      </c>
      <c r="G478" s="88"/>
      <c r="H478" s="88">
        <f>(D478*4+2*E478)</f>
        <v>9.82</v>
      </c>
      <c r="I478" s="88">
        <f t="shared" si="1"/>
        <v>25.948999999999998</v>
      </c>
      <c r="L478" s="88">
        <f t="shared" si="2"/>
        <v>90.5</v>
      </c>
      <c r="M478" s="88">
        <f t="shared" si="3"/>
        <v>7.7</v>
      </c>
    </row>
    <row r="479" spans="1:13">
      <c r="A479" s="92">
        <f>3</f>
        <v>3</v>
      </c>
      <c r="B479" s="92"/>
      <c r="C479" s="84" t="s">
        <v>77</v>
      </c>
      <c r="D479" s="86">
        <f>2.62</f>
        <v>2.62</v>
      </c>
      <c r="E479" s="87">
        <f>1.65</f>
        <v>1.65</v>
      </c>
      <c r="F479" s="88">
        <f t="shared" si="0"/>
        <v>4.3229999999999995</v>
      </c>
      <c r="G479" s="88"/>
      <c r="H479" s="88">
        <f>(D479*2+4*E479)</f>
        <v>11.84</v>
      </c>
      <c r="I479" s="88">
        <f t="shared" si="1"/>
        <v>12.968999999999998</v>
      </c>
      <c r="L479" s="88">
        <f t="shared" si="2"/>
        <v>27.659999999999997</v>
      </c>
      <c r="M479" s="88">
        <f t="shared" si="3"/>
        <v>7.86</v>
      </c>
    </row>
    <row r="480" spans="1:13">
      <c r="A480" s="92">
        <f>1</f>
        <v>1</v>
      </c>
      <c r="B480" s="92"/>
      <c r="C480" s="84" t="s">
        <v>78</v>
      </c>
      <c r="D480" s="86">
        <f>0.92</f>
        <v>0.92</v>
      </c>
      <c r="E480" s="87">
        <f>1.87</f>
        <v>1.87</v>
      </c>
      <c r="F480" s="88">
        <f t="shared" si="0"/>
        <v>1.7204000000000002</v>
      </c>
      <c r="G480" s="88"/>
      <c r="H480" s="88">
        <f>(D480*3+2*E480)</f>
        <v>6.5</v>
      </c>
      <c r="I480" s="88">
        <f t="shared" si="1"/>
        <v>1.7204000000000002</v>
      </c>
      <c r="L480" s="88">
        <f t="shared" si="2"/>
        <v>5.58</v>
      </c>
      <c r="M480" s="88">
        <f t="shared" si="3"/>
        <v>0.92</v>
      </c>
    </row>
    <row r="481" spans="1:13">
      <c r="A481" s="92">
        <f>2</f>
        <v>2</v>
      </c>
      <c r="B481" s="92"/>
      <c r="C481" s="84" t="s">
        <v>79</v>
      </c>
      <c r="D481" s="86">
        <f>1.85</f>
        <v>1.85</v>
      </c>
      <c r="E481" s="87">
        <f>1.57</f>
        <v>1.57</v>
      </c>
      <c r="F481" s="88">
        <f>D481*0.435+(D481*1.14)/2</f>
        <v>1.8592500000000001</v>
      </c>
      <c r="G481" s="88"/>
      <c r="H481" s="88">
        <f>(D481*2+1.5+0.435+1.14+E481)</f>
        <v>8.3449999999999989</v>
      </c>
      <c r="I481" s="88">
        <f t="shared" si="1"/>
        <v>3.7185000000000001</v>
      </c>
      <c r="L481" s="88">
        <f t="shared" si="2"/>
        <v>12.989999999999998</v>
      </c>
      <c r="M481" s="88">
        <f t="shared" si="3"/>
        <v>3.7</v>
      </c>
    </row>
    <row r="482" spans="1:13">
      <c r="A482" s="93">
        <f>3</f>
        <v>3</v>
      </c>
      <c r="B482" s="93"/>
      <c r="C482" s="84" t="s">
        <v>80</v>
      </c>
      <c r="D482" s="86">
        <f>0.97</f>
        <v>0.97</v>
      </c>
      <c r="E482" s="87">
        <f>1.77</f>
        <v>1.77</v>
      </c>
      <c r="F482" s="88">
        <f>D482*E482</f>
        <v>1.7168999999999999</v>
      </c>
      <c r="G482" s="88"/>
      <c r="H482" s="88">
        <f>2*(D482+E482)</f>
        <v>5.48</v>
      </c>
      <c r="I482" s="88">
        <f t="shared" si="1"/>
        <v>5.1506999999999996</v>
      </c>
      <c r="L482" s="88">
        <f t="shared" si="2"/>
        <v>13.530000000000001</v>
      </c>
      <c r="M482" s="88">
        <f t="shared" si="3"/>
        <v>2.91</v>
      </c>
    </row>
    <row r="483" spans="1:13">
      <c r="A483" s="93">
        <f>3</f>
        <v>3</v>
      </c>
      <c r="B483" s="93"/>
      <c r="C483" s="84" t="s">
        <v>68</v>
      </c>
      <c r="D483" s="86">
        <f>1.17</f>
        <v>1.17</v>
      </c>
      <c r="E483" s="87">
        <f>1.77</f>
        <v>1.77</v>
      </c>
      <c r="F483" s="88">
        <f>D483*E483</f>
        <v>2.0709</v>
      </c>
      <c r="G483" s="88"/>
      <c r="H483" s="88">
        <f>2*(D483+E483)</f>
        <v>5.88</v>
      </c>
      <c r="I483" s="88">
        <f t="shared" si="1"/>
        <v>6.2126999999999999</v>
      </c>
      <c r="L483" s="88">
        <f t="shared" si="2"/>
        <v>14.129999999999999</v>
      </c>
      <c r="M483" s="88">
        <f t="shared" si="3"/>
        <v>3.51</v>
      </c>
    </row>
    <row r="484" spans="1:13">
      <c r="A484" s="29"/>
      <c r="B484" s="29"/>
      <c r="D484" s="29"/>
      <c r="E484" s="29"/>
      <c r="H484" s="29"/>
      <c r="I484" s="29"/>
    </row>
    <row r="485" spans="1:13">
      <c r="A485" s="83">
        <f>A465+A469+A472+A477</f>
        <v>25</v>
      </c>
      <c r="B485" s="83"/>
      <c r="C485" s="84"/>
      <c r="D485" s="86"/>
      <c r="E485" s="87"/>
      <c r="F485" s="88"/>
      <c r="G485" s="88"/>
      <c r="H485" s="88">
        <f>1.57-0.435</f>
        <v>1.135</v>
      </c>
      <c r="I485" s="88"/>
      <c r="L485" s="88"/>
      <c r="M485" s="88"/>
    </row>
    <row r="486" spans="1:13">
      <c r="A486" s="28">
        <f>A466+A473</f>
        <v>21</v>
      </c>
      <c r="C486" s="84"/>
      <c r="D486" s="86"/>
      <c r="E486" s="87"/>
      <c r="F486" s="88"/>
      <c r="G486" s="88"/>
      <c r="H486" s="88"/>
      <c r="I486" s="88"/>
      <c r="L486" s="88"/>
      <c r="M486" s="88"/>
    </row>
    <row r="487" spans="1:13">
      <c r="A487" s="78">
        <f>SUM(A488:A501)</f>
        <v>13</v>
      </c>
      <c r="B487" s="78"/>
      <c r="C487" s="79" t="s">
        <v>81</v>
      </c>
      <c r="D487" s="86"/>
      <c r="E487" s="87"/>
      <c r="F487" s="88"/>
      <c r="G487" s="88"/>
      <c r="H487" s="88"/>
      <c r="I487" s="82">
        <f>SUM(I488:I501)</f>
        <v>123.65119999999999</v>
      </c>
      <c r="L487" s="82">
        <f>SUM(L488:L501)</f>
        <v>333.67</v>
      </c>
      <c r="M487" s="82">
        <f>SUM(M488:M501)</f>
        <v>25.910000000000004</v>
      </c>
    </row>
    <row r="488" spans="1:13">
      <c r="A488" s="83"/>
      <c r="B488" s="83"/>
      <c r="C488" s="79"/>
      <c r="D488" s="86"/>
      <c r="E488" s="87"/>
      <c r="F488" s="88"/>
      <c r="G488" s="88"/>
      <c r="H488" s="88"/>
      <c r="I488" s="82"/>
      <c r="L488" s="82"/>
      <c r="M488" s="82"/>
    </row>
    <row r="489" spans="1:13">
      <c r="A489" s="83">
        <f>1</f>
        <v>1</v>
      </c>
      <c r="B489" s="83"/>
      <c r="C489" s="84" t="s">
        <v>82</v>
      </c>
      <c r="D489" s="86">
        <f>2.53</f>
        <v>2.5299999999999998</v>
      </c>
      <c r="E489" s="87">
        <f>2.92</f>
        <v>2.92</v>
      </c>
      <c r="F489" s="88">
        <f t="shared" ref="F489:F500" si="5">D489*E489</f>
        <v>7.3875999999999991</v>
      </c>
      <c r="G489" s="88"/>
      <c r="H489" s="88">
        <f>(D489*5+E489*3)</f>
        <v>21.409999999999997</v>
      </c>
      <c r="I489" s="88">
        <f t="shared" ref="I489:I500" si="6">A489*F489</f>
        <v>7.3875999999999991</v>
      </c>
      <c r="L489" s="88">
        <f t="shared" ref="L489:L500" si="7">A489*(H489-D489)</f>
        <v>18.879999999999995</v>
      </c>
      <c r="M489" s="88">
        <f t="shared" ref="M489:M500" si="8">A489*D489</f>
        <v>2.5299999999999998</v>
      </c>
    </row>
    <row r="490" spans="1:13">
      <c r="A490" s="83">
        <f>1</f>
        <v>1</v>
      </c>
      <c r="B490" s="83"/>
      <c r="C490" s="84" t="s">
        <v>83</v>
      </c>
      <c r="D490" s="86">
        <f>3.47</f>
        <v>3.47</v>
      </c>
      <c r="E490" s="87">
        <f>2.92</f>
        <v>2.92</v>
      </c>
      <c r="F490" s="88">
        <f t="shared" si="5"/>
        <v>10.132400000000001</v>
      </c>
      <c r="G490" s="88"/>
      <c r="H490" s="88">
        <f>(D490*5+E490*4)</f>
        <v>29.03</v>
      </c>
      <c r="I490" s="88">
        <f t="shared" si="6"/>
        <v>10.132400000000001</v>
      </c>
      <c r="L490" s="88">
        <f t="shared" si="7"/>
        <v>25.560000000000002</v>
      </c>
      <c r="M490" s="88">
        <f t="shared" si="8"/>
        <v>3.47</v>
      </c>
    </row>
    <row r="491" spans="1:13">
      <c r="A491" s="83">
        <f>1</f>
        <v>1</v>
      </c>
      <c r="B491" s="83"/>
      <c r="C491" s="84" t="s">
        <v>84</v>
      </c>
      <c r="D491" s="86">
        <f>1.12</f>
        <v>1.1200000000000001</v>
      </c>
      <c r="E491" s="87">
        <f>6.5</f>
        <v>6.5</v>
      </c>
      <c r="F491" s="88">
        <f t="shared" si="5"/>
        <v>7.2800000000000011</v>
      </c>
      <c r="G491" s="88"/>
      <c r="H491" s="88">
        <f>(D491*7+E491*2)</f>
        <v>20.84</v>
      </c>
      <c r="I491" s="88">
        <f t="shared" si="6"/>
        <v>7.2800000000000011</v>
      </c>
      <c r="L491" s="88">
        <f t="shared" si="7"/>
        <v>19.72</v>
      </c>
      <c r="M491" s="88">
        <f t="shared" si="8"/>
        <v>1.1200000000000001</v>
      </c>
    </row>
    <row r="492" spans="1:13">
      <c r="A492" s="83">
        <f>1</f>
        <v>1</v>
      </c>
      <c r="B492" s="83"/>
      <c r="C492" s="84" t="s">
        <v>85</v>
      </c>
      <c r="D492" s="86">
        <f>1.23</f>
        <v>1.23</v>
      </c>
      <c r="E492" s="87">
        <f>6.5</f>
        <v>6.5</v>
      </c>
      <c r="F492" s="88">
        <f t="shared" si="5"/>
        <v>7.9950000000000001</v>
      </c>
      <c r="G492" s="88"/>
      <c r="H492" s="88">
        <f>(D492*8+E492*2)</f>
        <v>22.84</v>
      </c>
      <c r="I492" s="88">
        <f t="shared" si="6"/>
        <v>7.9950000000000001</v>
      </c>
      <c r="L492" s="88">
        <f t="shared" si="7"/>
        <v>21.61</v>
      </c>
      <c r="M492" s="88">
        <f t="shared" si="8"/>
        <v>1.23</v>
      </c>
    </row>
    <row r="493" spans="1:13">
      <c r="A493" s="83">
        <f>1+1</f>
        <v>2</v>
      </c>
      <c r="B493" s="83"/>
      <c r="C493" s="84" t="s">
        <v>86</v>
      </c>
      <c r="D493" s="86">
        <f>3.02</f>
        <v>3.02</v>
      </c>
      <c r="E493" s="87">
        <f>2.92</f>
        <v>2.92</v>
      </c>
      <c r="F493" s="88">
        <f t="shared" si="5"/>
        <v>8.8184000000000005</v>
      </c>
      <c r="G493" s="88"/>
      <c r="H493" s="88">
        <f>(D493*5+E493*4)</f>
        <v>26.78</v>
      </c>
      <c r="I493" s="88">
        <f t="shared" si="6"/>
        <v>17.636800000000001</v>
      </c>
      <c r="L493" s="88">
        <f t="shared" si="7"/>
        <v>47.52</v>
      </c>
      <c r="M493" s="88">
        <f t="shared" si="8"/>
        <v>6.04</v>
      </c>
    </row>
    <row r="494" spans="1:13">
      <c r="A494" s="83">
        <f>1</f>
        <v>1</v>
      </c>
      <c r="B494" s="83"/>
      <c r="C494" s="84" t="s">
        <v>87</v>
      </c>
      <c r="D494" s="86">
        <f>2.3</f>
        <v>2.2999999999999998</v>
      </c>
      <c r="E494" s="87">
        <f>6.5</f>
        <v>6.5</v>
      </c>
      <c r="F494" s="88">
        <f t="shared" si="5"/>
        <v>14.95</v>
      </c>
      <c r="G494" s="88"/>
      <c r="H494" s="88">
        <f>(D494*9+E494*4)</f>
        <v>46.7</v>
      </c>
      <c r="I494" s="88">
        <f t="shared" si="6"/>
        <v>14.95</v>
      </c>
      <c r="L494" s="88">
        <f t="shared" si="7"/>
        <v>44.400000000000006</v>
      </c>
      <c r="M494" s="88">
        <f t="shared" si="8"/>
        <v>2.2999999999999998</v>
      </c>
    </row>
    <row r="495" spans="1:13">
      <c r="A495" s="83">
        <f>1</f>
        <v>1</v>
      </c>
      <c r="B495" s="83"/>
      <c r="C495" s="84" t="s">
        <v>88</v>
      </c>
      <c r="D495" s="86">
        <f>0.97</f>
        <v>0.97</v>
      </c>
      <c r="E495" s="87">
        <f>3.37</f>
        <v>3.37</v>
      </c>
      <c r="F495" s="88">
        <f t="shared" si="5"/>
        <v>3.2688999999999999</v>
      </c>
      <c r="G495" s="88"/>
      <c r="H495" s="88">
        <f>(D495*5+E495*2)</f>
        <v>11.59</v>
      </c>
      <c r="I495" s="88">
        <f t="shared" si="6"/>
        <v>3.2688999999999999</v>
      </c>
      <c r="L495" s="88">
        <f t="shared" si="7"/>
        <v>10.62</v>
      </c>
      <c r="M495" s="88">
        <f t="shared" si="8"/>
        <v>0.97</v>
      </c>
    </row>
    <row r="496" spans="1:13">
      <c r="A496" s="83">
        <f>1</f>
        <v>1</v>
      </c>
      <c r="B496" s="83"/>
      <c r="C496" s="84" t="s">
        <v>89</v>
      </c>
      <c r="D496" s="86">
        <f>1.1</f>
        <v>1.1000000000000001</v>
      </c>
      <c r="E496" s="87">
        <f>5.6</f>
        <v>5.6</v>
      </c>
      <c r="F496" s="88">
        <f t="shared" si="5"/>
        <v>6.16</v>
      </c>
      <c r="G496" s="88"/>
      <c r="H496" s="88">
        <f>(D496*7+E496*2)</f>
        <v>18.899999999999999</v>
      </c>
      <c r="I496" s="88">
        <f t="shared" si="6"/>
        <v>6.16</v>
      </c>
      <c r="L496" s="88">
        <f t="shared" si="7"/>
        <v>17.799999999999997</v>
      </c>
      <c r="M496" s="88">
        <f t="shared" si="8"/>
        <v>1.1000000000000001</v>
      </c>
    </row>
    <row r="497" spans="1:13">
      <c r="A497" s="83">
        <f>1</f>
        <v>1</v>
      </c>
      <c r="B497" s="83"/>
      <c r="C497" s="84" t="s">
        <v>90</v>
      </c>
      <c r="D497" s="86">
        <f>2.3</f>
        <v>2.2999999999999998</v>
      </c>
      <c r="E497" s="87">
        <f>6.5</f>
        <v>6.5</v>
      </c>
      <c r="F497" s="88">
        <f t="shared" si="5"/>
        <v>14.95</v>
      </c>
      <c r="G497" s="88"/>
      <c r="H497" s="88">
        <f>(D497*9+E497*4)</f>
        <v>46.7</v>
      </c>
      <c r="I497" s="88">
        <f t="shared" si="6"/>
        <v>14.95</v>
      </c>
      <c r="L497" s="88">
        <f t="shared" si="7"/>
        <v>44.400000000000006</v>
      </c>
      <c r="M497" s="88">
        <f t="shared" si="8"/>
        <v>2.2999999999999998</v>
      </c>
    </row>
    <row r="498" spans="1:13">
      <c r="A498" s="83">
        <f>1</f>
        <v>1</v>
      </c>
      <c r="B498" s="83"/>
      <c r="C498" s="84" t="s">
        <v>91</v>
      </c>
      <c r="D498" s="86">
        <f>0.7</f>
        <v>0.7</v>
      </c>
      <c r="E498" s="87">
        <f>6.1</f>
        <v>6.1</v>
      </c>
      <c r="F498" s="88">
        <f t="shared" si="5"/>
        <v>4.2699999999999996</v>
      </c>
      <c r="G498" s="88"/>
      <c r="H498" s="88">
        <f>(D498*7+E498*2)</f>
        <v>17.099999999999998</v>
      </c>
      <c r="I498" s="88">
        <f t="shared" si="6"/>
        <v>4.2699999999999996</v>
      </c>
      <c r="L498" s="88">
        <f t="shared" si="7"/>
        <v>16.399999999999999</v>
      </c>
      <c r="M498" s="88">
        <f t="shared" si="8"/>
        <v>0.7</v>
      </c>
    </row>
    <row r="499" spans="1:13">
      <c r="A499" s="83">
        <f>1</f>
        <v>1</v>
      </c>
      <c r="B499" s="83"/>
      <c r="C499" s="84" t="s">
        <v>92</v>
      </c>
      <c r="D499" s="86">
        <f>3.05</f>
        <v>3.05</v>
      </c>
      <c r="E499" s="87">
        <f>7.05</f>
        <v>7.05</v>
      </c>
      <c r="F499" s="88">
        <f t="shared" si="5"/>
        <v>21.502499999999998</v>
      </c>
      <c r="G499" s="88"/>
      <c r="H499" s="88">
        <f>(D499*7+E499*4)</f>
        <v>49.55</v>
      </c>
      <c r="I499" s="88">
        <f t="shared" si="6"/>
        <v>21.502499999999998</v>
      </c>
      <c r="L499" s="88">
        <f t="shared" si="7"/>
        <v>46.5</v>
      </c>
      <c r="M499" s="88">
        <f t="shared" si="8"/>
        <v>3.05</v>
      </c>
    </row>
    <row r="500" spans="1:13">
      <c r="A500" s="83">
        <f>1</f>
        <v>1</v>
      </c>
      <c r="B500" s="83"/>
      <c r="C500" s="84" t="s">
        <v>93</v>
      </c>
      <c r="D500" s="86">
        <f>1.1</f>
        <v>1.1000000000000001</v>
      </c>
      <c r="E500" s="87">
        <f>7.38</f>
        <v>7.38</v>
      </c>
      <c r="F500" s="88">
        <f t="shared" si="5"/>
        <v>8.1180000000000003</v>
      </c>
      <c r="G500" s="88"/>
      <c r="H500" s="88">
        <f>(D500*6+E500*2)</f>
        <v>21.36</v>
      </c>
      <c r="I500" s="88">
        <f t="shared" si="6"/>
        <v>8.1180000000000003</v>
      </c>
      <c r="L500" s="88">
        <f t="shared" si="7"/>
        <v>20.259999999999998</v>
      </c>
      <c r="M500" s="88">
        <f t="shared" si="8"/>
        <v>1.1000000000000001</v>
      </c>
    </row>
    <row r="501" spans="1:13">
      <c r="A501" s="94"/>
      <c r="B501" s="94"/>
      <c r="C501" s="84"/>
      <c r="D501" s="86"/>
      <c r="E501" s="87"/>
      <c r="F501" s="88"/>
      <c r="G501" s="88"/>
      <c r="H501" s="88"/>
      <c r="I501" s="88"/>
      <c r="L501" s="88"/>
      <c r="M501" s="88"/>
    </row>
    <row r="502" spans="1:13">
      <c r="A502" s="94"/>
      <c r="B502" s="94"/>
      <c r="C502" s="84"/>
      <c r="D502" s="86"/>
      <c r="E502" s="87"/>
      <c r="F502" s="88"/>
      <c r="G502" s="88"/>
      <c r="H502" s="88"/>
      <c r="I502" s="88"/>
      <c r="L502" s="88"/>
      <c r="M502" s="88"/>
    </row>
    <row r="503" spans="1:13">
      <c r="A503" s="78">
        <f>SUM(A504:A513)</f>
        <v>9</v>
      </c>
      <c r="B503" s="78"/>
      <c r="C503" s="79" t="s">
        <v>94</v>
      </c>
      <c r="D503" s="86"/>
      <c r="E503" s="87"/>
      <c r="F503" s="88"/>
      <c r="G503" s="88"/>
      <c r="H503" s="88"/>
      <c r="I503" s="82">
        <f>SUM(I504:I513)</f>
        <v>29.242800000000003</v>
      </c>
      <c r="L503" s="82">
        <f>SUM(L505:L517)</f>
        <v>225.68</v>
      </c>
      <c r="M503" s="82">
        <f>SUM(M505:M517)</f>
        <v>48.45</v>
      </c>
    </row>
    <row r="504" spans="1:13">
      <c r="A504" s="94"/>
      <c r="B504" s="94"/>
      <c r="C504" s="79"/>
      <c r="D504" s="86"/>
      <c r="E504" s="87"/>
      <c r="F504" s="88"/>
      <c r="G504" s="88"/>
      <c r="H504" s="88"/>
      <c r="I504" s="82"/>
      <c r="L504" s="82"/>
      <c r="M504" s="82"/>
    </row>
    <row r="505" spans="1:13">
      <c r="A505" s="95">
        <f>1</f>
        <v>1</v>
      </c>
      <c r="B505" s="95"/>
      <c r="C505" s="96" t="s">
        <v>95</v>
      </c>
      <c r="D505" s="87">
        <f>1.57</f>
        <v>1.57</v>
      </c>
      <c r="E505" s="86">
        <f>2.57</f>
        <v>2.57</v>
      </c>
      <c r="F505" s="88">
        <f t="shared" ref="F505:F512" si="9">D505*E505</f>
        <v>4.0348999999999995</v>
      </c>
      <c r="G505" s="88"/>
      <c r="H505" s="88">
        <f>3*(D505+E505)</f>
        <v>12.419999999999998</v>
      </c>
      <c r="I505" s="88">
        <f t="shared" ref="I505:I512" si="10">A505*F505</f>
        <v>4.0348999999999995</v>
      </c>
      <c r="L505" s="88">
        <f t="shared" ref="L505:L512" si="11">A505*(H505-E505)</f>
        <v>9.8499999999999979</v>
      </c>
      <c r="M505" s="88">
        <f t="shared" ref="M505:M512" si="12">A505*E505</f>
        <v>2.57</v>
      </c>
    </row>
    <row r="506" spans="1:13">
      <c r="A506" s="95">
        <f>1</f>
        <v>1</v>
      </c>
      <c r="B506" s="95"/>
      <c r="C506" s="96" t="s">
        <v>96</v>
      </c>
      <c r="D506" s="87">
        <f>0.98</f>
        <v>0.98</v>
      </c>
      <c r="E506" s="86">
        <f>2.57</f>
        <v>2.57</v>
      </c>
      <c r="F506" s="88">
        <f t="shared" si="9"/>
        <v>2.5185999999999997</v>
      </c>
      <c r="G506" s="88"/>
      <c r="H506" s="88">
        <f>(D506*3+2*E506)</f>
        <v>8.08</v>
      </c>
      <c r="I506" s="88">
        <f t="shared" si="10"/>
        <v>2.5185999999999997</v>
      </c>
      <c r="L506" s="88">
        <f t="shared" si="11"/>
        <v>5.51</v>
      </c>
      <c r="M506" s="88">
        <f t="shared" si="12"/>
        <v>2.57</v>
      </c>
    </row>
    <row r="507" spans="1:13">
      <c r="A507" s="95">
        <f>1</f>
        <v>1</v>
      </c>
      <c r="B507" s="95"/>
      <c r="C507" s="96" t="s">
        <v>97</v>
      </c>
      <c r="D507" s="87">
        <f>1.77</f>
        <v>1.77</v>
      </c>
      <c r="E507" s="86">
        <f>2.57</f>
        <v>2.57</v>
      </c>
      <c r="F507" s="88">
        <f t="shared" si="9"/>
        <v>4.5488999999999997</v>
      </c>
      <c r="G507" s="88"/>
      <c r="H507" s="88">
        <f>(D507*3+2*E507)</f>
        <v>10.45</v>
      </c>
      <c r="I507" s="88">
        <f t="shared" si="10"/>
        <v>4.5488999999999997</v>
      </c>
      <c r="L507" s="88">
        <f t="shared" si="11"/>
        <v>7.879999999999999</v>
      </c>
      <c r="M507" s="88">
        <f t="shared" si="12"/>
        <v>2.57</v>
      </c>
    </row>
    <row r="508" spans="1:13">
      <c r="A508" s="95">
        <f>1</f>
        <v>1</v>
      </c>
      <c r="B508" s="95"/>
      <c r="C508" s="96" t="s">
        <v>98</v>
      </c>
      <c r="D508" s="87">
        <f>1.37</f>
        <v>1.37</v>
      </c>
      <c r="E508" s="86">
        <f>2.07</f>
        <v>2.0699999999999998</v>
      </c>
      <c r="F508" s="88">
        <f t="shared" si="9"/>
        <v>2.8359000000000001</v>
      </c>
      <c r="G508" s="88"/>
      <c r="H508" s="88">
        <f>3*(D508+E508)</f>
        <v>10.32</v>
      </c>
      <c r="I508" s="88">
        <f t="shared" si="10"/>
        <v>2.8359000000000001</v>
      </c>
      <c r="L508" s="88">
        <f t="shared" si="11"/>
        <v>8.25</v>
      </c>
      <c r="M508" s="88">
        <f t="shared" si="12"/>
        <v>2.0699999999999998</v>
      </c>
    </row>
    <row r="509" spans="1:13">
      <c r="A509" s="95">
        <f>1+1</f>
        <v>2</v>
      </c>
      <c r="B509" s="95"/>
      <c r="C509" s="96" t="s">
        <v>99</v>
      </c>
      <c r="D509" s="87">
        <f>0.97</f>
        <v>0.97</v>
      </c>
      <c r="E509" s="86">
        <f>2.07</f>
        <v>2.0699999999999998</v>
      </c>
      <c r="F509" s="88">
        <f t="shared" si="9"/>
        <v>2.0078999999999998</v>
      </c>
      <c r="G509" s="88"/>
      <c r="H509" s="88">
        <f>2*(D509+E509)</f>
        <v>6.08</v>
      </c>
      <c r="I509" s="88">
        <f t="shared" si="10"/>
        <v>4.0157999999999996</v>
      </c>
      <c r="L509" s="88">
        <f t="shared" si="11"/>
        <v>8.02</v>
      </c>
      <c r="M509" s="88">
        <f t="shared" si="12"/>
        <v>4.1399999999999997</v>
      </c>
    </row>
    <row r="510" spans="1:13">
      <c r="A510" s="95">
        <f>1</f>
        <v>1</v>
      </c>
      <c r="B510" s="95"/>
      <c r="C510" s="96" t="s">
        <v>100</v>
      </c>
      <c r="D510" s="87">
        <f>1.77</f>
        <v>1.77</v>
      </c>
      <c r="E510" s="86">
        <f>2.07</f>
        <v>2.0699999999999998</v>
      </c>
      <c r="F510" s="88">
        <f t="shared" si="9"/>
        <v>3.6638999999999999</v>
      </c>
      <c r="G510" s="88"/>
      <c r="H510" s="88">
        <f>2*(D510+E510)</f>
        <v>7.68</v>
      </c>
      <c r="I510" s="88">
        <f t="shared" si="10"/>
        <v>3.6638999999999999</v>
      </c>
      <c r="L510" s="88">
        <f t="shared" si="11"/>
        <v>5.6099999999999994</v>
      </c>
      <c r="M510" s="88">
        <f t="shared" si="12"/>
        <v>2.0699999999999998</v>
      </c>
    </row>
    <row r="511" spans="1:13">
      <c r="A511" s="95">
        <f>1</f>
        <v>1</v>
      </c>
      <c r="B511" s="95"/>
      <c r="C511" s="96" t="s">
        <v>101</v>
      </c>
      <c r="D511" s="87">
        <f>0.97</f>
        <v>0.97</v>
      </c>
      <c r="E511" s="86">
        <f>2.07</f>
        <v>2.0699999999999998</v>
      </c>
      <c r="F511" s="88">
        <f t="shared" si="9"/>
        <v>2.0078999999999998</v>
      </c>
      <c r="G511" s="88"/>
      <c r="H511" s="88">
        <f>(D511*3+2*E511)</f>
        <v>7.05</v>
      </c>
      <c r="I511" s="88">
        <f t="shared" si="10"/>
        <v>2.0078999999999998</v>
      </c>
      <c r="L511" s="88">
        <f t="shared" si="11"/>
        <v>4.9800000000000004</v>
      </c>
      <c r="M511" s="88">
        <f t="shared" si="12"/>
        <v>2.0699999999999998</v>
      </c>
    </row>
    <row r="512" spans="1:13">
      <c r="A512" s="95">
        <f>1</f>
        <v>1</v>
      </c>
      <c r="B512" s="95"/>
      <c r="C512" s="96" t="s">
        <v>102</v>
      </c>
      <c r="D512" s="87">
        <f>2.37</f>
        <v>2.37</v>
      </c>
      <c r="E512" s="87">
        <f>2.37</f>
        <v>2.37</v>
      </c>
      <c r="F512" s="88">
        <f t="shared" si="9"/>
        <v>5.6169000000000002</v>
      </c>
      <c r="G512" s="88"/>
      <c r="H512" s="88">
        <f>2*(D512+E512)</f>
        <v>9.48</v>
      </c>
      <c r="I512" s="88">
        <f t="shared" si="10"/>
        <v>5.6169000000000002</v>
      </c>
      <c r="L512" s="88">
        <f t="shared" si="11"/>
        <v>7.11</v>
      </c>
      <c r="M512" s="88">
        <f t="shared" si="12"/>
        <v>2.37</v>
      </c>
    </row>
    <row r="513" spans="1:13">
      <c r="A513" s="95"/>
      <c r="B513" s="95"/>
      <c r="C513" s="96"/>
      <c r="D513" s="87"/>
      <c r="E513" s="86"/>
      <c r="F513" s="88"/>
      <c r="G513" s="88"/>
      <c r="H513" s="88"/>
      <c r="I513" s="88"/>
      <c r="L513" s="88"/>
      <c r="M513" s="88"/>
    </row>
    <row r="514" spans="1:13">
      <c r="A514" s="95"/>
      <c r="B514" s="95"/>
      <c r="C514" s="96"/>
      <c r="D514" s="87"/>
      <c r="E514" s="86"/>
      <c r="F514" s="88"/>
      <c r="G514" s="88"/>
      <c r="H514" s="88"/>
      <c r="I514" s="88"/>
      <c r="L514" s="88"/>
      <c r="M514" s="88"/>
    </row>
    <row r="515" spans="1:13">
      <c r="A515" s="78">
        <f>SUM(A516:A524)</f>
        <v>12</v>
      </c>
      <c r="B515" s="78"/>
      <c r="C515" s="97" t="s">
        <v>103</v>
      </c>
      <c r="D515" s="86"/>
      <c r="E515" s="87"/>
      <c r="F515" s="88"/>
      <c r="G515" s="88"/>
      <c r="H515" s="88"/>
      <c r="I515" s="82">
        <f>SUM(I516:I524)</f>
        <v>61.446000000000005</v>
      </c>
      <c r="L515" s="82">
        <f>SUM(L516:L529)</f>
        <v>148.47999999999999</v>
      </c>
      <c r="M515" s="82">
        <f>SUM(M516:M529)</f>
        <v>25.25</v>
      </c>
    </row>
    <row r="516" spans="1:13">
      <c r="A516" s="83"/>
      <c r="B516" s="83"/>
      <c r="C516" s="79"/>
      <c r="D516" s="86"/>
      <c r="E516" s="87"/>
      <c r="F516" s="88"/>
      <c r="G516" s="88"/>
      <c r="H516" s="88"/>
      <c r="I516" s="82"/>
      <c r="L516" s="82"/>
      <c r="M516" s="82"/>
    </row>
    <row r="517" spans="1:13">
      <c r="A517" s="83">
        <f>1</f>
        <v>1</v>
      </c>
      <c r="B517" s="83"/>
      <c r="C517" s="84" t="s">
        <v>104</v>
      </c>
      <c r="D517" s="86">
        <f>2.77</f>
        <v>2.77</v>
      </c>
      <c r="E517" s="87">
        <f>2.92</f>
        <v>2.92</v>
      </c>
      <c r="F517" s="88">
        <f t="shared" ref="F517:F523" si="13">D517*E517</f>
        <v>8.0884</v>
      </c>
      <c r="G517" s="88"/>
      <c r="H517" s="88">
        <f>(D517*4+E517*4)</f>
        <v>22.759999999999998</v>
      </c>
      <c r="I517" s="88">
        <f t="shared" ref="I517:I523" si="14">A517*F517</f>
        <v>8.0884</v>
      </c>
      <c r="L517" s="88">
        <f t="shared" ref="L517:L523" si="15">A517*(H517-D517)</f>
        <v>19.989999999999998</v>
      </c>
      <c r="M517" s="88">
        <f t="shared" ref="M517:M523" si="16">A517*D517</f>
        <v>2.77</v>
      </c>
    </row>
    <row r="518" spans="1:13">
      <c r="A518" s="83">
        <f>1</f>
        <v>1</v>
      </c>
      <c r="B518" s="83"/>
      <c r="C518" s="84" t="s">
        <v>105</v>
      </c>
      <c r="D518" s="86">
        <f>2.965</f>
        <v>2.9649999999999999</v>
      </c>
      <c r="E518" s="87">
        <f>2.67</f>
        <v>2.67</v>
      </c>
      <c r="F518" s="88">
        <f t="shared" si="13"/>
        <v>7.9165499999999991</v>
      </c>
      <c r="G518" s="88"/>
      <c r="H518" s="88">
        <f>(D518*4+E518*4)</f>
        <v>22.54</v>
      </c>
      <c r="I518" s="88">
        <f t="shared" si="14"/>
        <v>7.9165499999999991</v>
      </c>
      <c r="L518" s="88">
        <f t="shared" si="15"/>
        <v>19.574999999999999</v>
      </c>
      <c r="M518" s="88">
        <f t="shared" si="16"/>
        <v>2.9649999999999999</v>
      </c>
    </row>
    <row r="519" spans="1:13">
      <c r="A519" s="83">
        <f>1</f>
        <v>1</v>
      </c>
      <c r="B519" s="83"/>
      <c r="C519" s="84" t="s">
        <v>106</v>
      </c>
      <c r="D519" s="86">
        <f>2.855</f>
        <v>2.855</v>
      </c>
      <c r="E519" s="87">
        <f>2.67</f>
        <v>2.67</v>
      </c>
      <c r="F519" s="88">
        <f t="shared" si="13"/>
        <v>7.6228499999999997</v>
      </c>
      <c r="G519" s="88"/>
      <c r="H519" s="88">
        <f>(D519*4+E519*3)</f>
        <v>19.43</v>
      </c>
      <c r="I519" s="88">
        <f t="shared" si="14"/>
        <v>7.6228499999999997</v>
      </c>
      <c r="L519" s="88">
        <f t="shared" si="15"/>
        <v>16.574999999999999</v>
      </c>
      <c r="M519" s="88">
        <f t="shared" si="16"/>
        <v>2.855</v>
      </c>
    </row>
    <row r="520" spans="1:13">
      <c r="A520" s="83">
        <f>3</f>
        <v>3</v>
      </c>
      <c r="B520" s="83"/>
      <c r="C520" s="84" t="s">
        <v>107</v>
      </c>
      <c r="D520" s="86">
        <f>2.1</f>
        <v>2.1</v>
      </c>
      <c r="E520" s="87">
        <f>2.27</f>
        <v>2.27</v>
      </c>
      <c r="F520" s="88">
        <f t="shared" si="13"/>
        <v>4.7670000000000003</v>
      </c>
      <c r="G520" s="88"/>
      <c r="H520" s="88">
        <f>(D520*3+E520*3)</f>
        <v>13.110000000000001</v>
      </c>
      <c r="I520" s="88">
        <f t="shared" si="14"/>
        <v>14.301000000000002</v>
      </c>
      <c r="L520" s="88">
        <f t="shared" si="15"/>
        <v>33.03</v>
      </c>
      <c r="M520" s="88">
        <f t="shared" si="16"/>
        <v>6.3000000000000007</v>
      </c>
    </row>
    <row r="521" spans="1:13">
      <c r="A521" s="83">
        <f>3</f>
        <v>3</v>
      </c>
      <c r="B521" s="83"/>
      <c r="C521" s="84" t="s">
        <v>108</v>
      </c>
      <c r="D521" s="86">
        <f>2.01</f>
        <v>2.0099999999999998</v>
      </c>
      <c r="E521" s="87">
        <f>2.27</f>
        <v>2.27</v>
      </c>
      <c r="F521" s="88">
        <f t="shared" si="13"/>
        <v>4.5626999999999995</v>
      </c>
      <c r="G521" s="88"/>
      <c r="H521" s="88">
        <f>(D521*3+E521*3)</f>
        <v>12.84</v>
      </c>
      <c r="I521" s="88">
        <f t="shared" si="14"/>
        <v>13.688099999999999</v>
      </c>
      <c r="L521" s="88">
        <f t="shared" si="15"/>
        <v>32.49</v>
      </c>
      <c r="M521" s="88">
        <f t="shared" si="16"/>
        <v>6.0299999999999994</v>
      </c>
    </row>
    <row r="522" spans="1:13">
      <c r="A522" s="83">
        <f>2</f>
        <v>2</v>
      </c>
      <c r="B522" s="83"/>
      <c r="C522" s="84" t="s">
        <v>109</v>
      </c>
      <c r="D522" s="86">
        <f>1.665</f>
        <v>1.665</v>
      </c>
      <c r="E522" s="87">
        <f>2.27</f>
        <v>2.27</v>
      </c>
      <c r="F522" s="88">
        <f t="shared" si="13"/>
        <v>3.77955</v>
      </c>
      <c r="G522" s="88"/>
      <c r="H522" s="88">
        <f>(D522*3+E522*3)</f>
        <v>11.805</v>
      </c>
      <c r="I522" s="88">
        <f t="shared" si="14"/>
        <v>7.5590999999999999</v>
      </c>
      <c r="L522" s="88">
        <f t="shared" si="15"/>
        <v>20.28</v>
      </c>
      <c r="M522" s="88">
        <f t="shared" si="16"/>
        <v>3.33</v>
      </c>
    </row>
    <row r="523" spans="1:13">
      <c r="A523" s="83">
        <f>1</f>
        <v>1</v>
      </c>
      <c r="B523" s="83"/>
      <c r="C523" s="84" t="s">
        <v>110</v>
      </c>
      <c r="D523" s="86">
        <f>1</f>
        <v>1</v>
      </c>
      <c r="E523" s="87">
        <f>2.27</f>
        <v>2.27</v>
      </c>
      <c r="F523" s="88">
        <f t="shared" si="13"/>
        <v>2.27</v>
      </c>
      <c r="G523" s="88"/>
      <c r="H523" s="88">
        <f>(D523*3+E523*2)</f>
        <v>7.54</v>
      </c>
      <c r="I523" s="88">
        <f t="shared" si="14"/>
        <v>2.27</v>
      </c>
      <c r="L523" s="88">
        <f t="shared" si="15"/>
        <v>6.54</v>
      </c>
      <c r="M523" s="88">
        <f t="shared" si="16"/>
        <v>1</v>
      </c>
    </row>
    <row r="532" spans="1:16">
      <c r="A532" s="98"/>
      <c r="B532" s="98"/>
      <c r="C532" s="99" t="s">
        <v>111</v>
      </c>
      <c r="D532" s="100" t="s">
        <v>112</v>
      </c>
      <c r="E532" s="28">
        <f>48</f>
        <v>48</v>
      </c>
      <c r="H532" s="101"/>
      <c r="J532" s="102"/>
      <c r="K532" s="102"/>
      <c r="L532" s="72">
        <f>120</f>
        <v>120</v>
      </c>
      <c r="M532" s="103" t="str">
        <f>IF(F532&gt;0,+F532*E532,CHAR(32))</f>
        <v xml:space="preserve"> </v>
      </c>
      <c r="N532" s="72">
        <f>IF(E532&gt;0,+E532*I532,CHAR(32))</f>
        <v>0</v>
      </c>
      <c r="O532" s="72"/>
      <c r="P532" s="72">
        <f>IF(L532&gt;0,+L532*E532,CHAR(32))</f>
        <v>5760</v>
      </c>
    </row>
    <row r="533" spans="1:16">
      <c r="A533" s="70"/>
      <c r="B533" s="70"/>
      <c r="C533" s="104" t="s">
        <v>113</v>
      </c>
      <c r="D533" s="100" t="s">
        <v>114</v>
      </c>
      <c r="E533" s="28">
        <f>2</f>
        <v>2</v>
      </c>
      <c r="H533" s="105" t="e">
        <v>#REF!</v>
      </c>
      <c r="I533" s="31">
        <f>1200/1.18</f>
        <v>1016.949152542373</v>
      </c>
      <c r="J533" s="101" t="e">
        <f>IF(H533&gt;0,+H533*E533,CHAR(32))</f>
        <v>#REF!</v>
      </c>
      <c r="K533" s="101"/>
      <c r="L533" s="106"/>
      <c r="M533" s="106"/>
      <c r="N533" s="72">
        <f>IF(E533&gt;0,+E533*I533,CHAR(32))</f>
        <v>2033.898305084746</v>
      </c>
      <c r="O533" s="72"/>
      <c r="P533" s="72" t="str">
        <f>IF(L533&gt;0,+L533*E533,CHAR(32))</f>
        <v xml:space="preserve"> </v>
      </c>
    </row>
    <row r="535" spans="1:16">
      <c r="C535" s="28" t="s">
        <v>115</v>
      </c>
    </row>
    <row r="536" spans="1:16">
      <c r="C536" s="107" t="s">
        <v>116</v>
      </c>
      <c r="G536" s="72"/>
      <c r="I536" s="29"/>
      <c r="M536" s="72"/>
      <c r="N536" s="72"/>
      <c r="O536" s="72"/>
    </row>
    <row r="537" spans="1:16">
      <c r="A537" s="28" t="s">
        <v>117</v>
      </c>
      <c r="C537" s="28" t="s">
        <v>118</v>
      </c>
      <c r="D537" s="108">
        <f>3</f>
        <v>3</v>
      </c>
      <c r="E537" s="73">
        <f>3</f>
        <v>3</v>
      </c>
      <c r="F537" s="72">
        <f>8.1</f>
        <v>8.1</v>
      </c>
      <c r="G537" s="31"/>
      <c r="H537" s="31" t="e">
        <f>#REF!*#REF!</f>
        <v>#REF!</v>
      </c>
      <c r="I537" s="31" t="e">
        <f>(E537+D537+E537)*#REF!</f>
        <v>#REF!</v>
      </c>
      <c r="J537" s="109" t="e">
        <f>H537-I537</f>
        <v>#REF!</v>
      </c>
      <c r="L537" s="72"/>
      <c r="M537" s="72" t="e">
        <f t="shared" ref="M537:M550" si="17">H537-(I537+J537+K537+L537)</f>
        <v>#REF!</v>
      </c>
      <c r="O537" s="72"/>
    </row>
    <row r="538" spans="1:16">
      <c r="A538" s="28" t="s">
        <v>119</v>
      </c>
      <c r="C538" s="28" t="s">
        <v>120</v>
      </c>
      <c r="D538" s="108">
        <f>14</f>
        <v>14</v>
      </c>
      <c r="E538" s="73">
        <f>11</f>
        <v>11</v>
      </c>
      <c r="F538" s="72">
        <f>104.7</f>
        <v>104.7</v>
      </c>
      <c r="G538" s="31"/>
      <c r="H538" s="31" t="e">
        <f>#REF!*#REF!</f>
        <v>#REF!</v>
      </c>
      <c r="I538" s="31" t="e">
        <f>(2.5+2.5)*#REF!</f>
        <v>#REF!</v>
      </c>
      <c r="J538" s="109" t="e">
        <f>H538-I538</f>
        <v>#REF!</v>
      </c>
      <c r="M538" s="72" t="e">
        <f t="shared" si="17"/>
        <v>#REF!</v>
      </c>
    </row>
    <row r="539" spans="1:16">
      <c r="A539" s="28" t="s">
        <v>121</v>
      </c>
      <c r="C539" s="110" t="s">
        <v>122</v>
      </c>
      <c r="D539" s="111">
        <f>2.85</f>
        <v>2.85</v>
      </c>
      <c r="E539" s="112">
        <f>2.4</f>
        <v>2.4</v>
      </c>
      <c r="F539" s="113">
        <f>6.85</f>
        <v>6.85</v>
      </c>
      <c r="G539" s="81"/>
      <c r="H539" s="111" t="e">
        <f>#REF!*8.4</f>
        <v>#REF!</v>
      </c>
      <c r="I539" s="111">
        <f>D539*8.4</f>
        <v>23.94</v>
      </c>
      <c r="J539" s="111" t="e">
        <f>H539-I539</f>
        <v>#REF!</v>
      </c>
      <c r="M539" s="72" t="e">
        <f t="shared" si="17"/>
        <v>#REF!</v>
      </c>
    </row>
    <row r="540" spans="1:16">
      <c r="A540" s="28" t="s">
        <v>123</v>
      </c>
      <c r="C540" s="28" t="s">
        <v>124</v>
      </c>
      <c r="D540" s="31">
        <f>4.2</f>
        <v>4.2</v>
      </c>
      <c r="E540" s="73">
        <f>3.45</f>
        <v>3.45</v>
      </c>
      <c r="F540" s="72">
        <f>14.5</f>
        <v>14.5</v>
      </c>
      <c r="G540" s="31"/>
      <c r="H540" s="31" t="e">
        <f>#REF!*#REF!</f>
        <v>#REF!</v>
      </c>
      <c r="I540" s="31" t="e">
        <f>(E540)*#REF!</f>
        <v>#REF!</v>
      </c>
      <c r="J540" s="31" t="e">
        <f>(D540+E540)*#REF!</f>
        <v>#REF!</v>
      </c>
      <c r="K540" s="114" t="e">
        <f>H540-(I540+J540)</f>
        <v>#REF!</v>
      </c>
      <c r="L540" s="72"/>
      <c r="M540" s="72" t="e">
        <f t="shared" si="17"/>
        <v>#REF!</v>
      </c>
      <c r="O540" s="72"/>
    </row>
    <row r="541" spans="1:16">
      <c r="A541" s="28" t="s">
        <v>125</v>
      </c>
      <c r="C541" s="28" t="s">
        <v>126</v>
      </c>
      <c r="D541" s="31">
        <f>F541/E541</f>
        <v>10.555555555555555</v>
      </c>
      <c r="E541" s="73">
        <f>1.8</f>
        <v>1.8</v>
      </c>
      <c r="F541" s="72">
        <f>19</f>
        <v>19</v>
      </c>
      <c r="G541" s="31"/>
      <c r="H541" s="31" t="e">
        <f>#REF!*#REF!</f>
        <v>#REF!</v>
      </c>
      <c r="J541" s="31" t="e">
        <f>H541-I541</f>
        <v>#REF!</v>
      </c>
      <c r="L541" s="115"/>
      <c r="M541" s="72" t="e">
        <f t="shared" si="17"/>
        <v>#REF!</v>
      </c>
      <c r="O541" s="72"/>
    </row>
    <row r="542" spans="1:16">
      <c r="A542" s="28" t="s">
        <v>127</v>
      </c>
      <c r="C542" s="28" t="s">
        <v>126</v>
      </c>
      <c r="D542" s="31">
        <f>F542/E542</f>
        <v>17</v>
      </c>
      <c r="E542" s="73">
        <f>1.8</f>
        <v>1.8</v>
      </c>
      <c r="F542" s="72">
        <f>30.6</f>
        <v>30.6</v>
      </c>
      <c r="G542" s="31"/>
      <c r="H542" s="31" t="e">
        <f>#REF!*#REF!</f>
        <v>#REF!</v>
      </c>
      <c r="J542" s="31" t="e">
        <f>H542-I542</f>
        <v>#REF!</v>
      </c>
      <c r="L542" s="115"/>
      <c r="M542" s="72" t="e">
        <f t="shared" si="17"/>
        <v>#REF!</v>
      </c>
      <c r="O542" s="72"/>
    </row>
    <row r="543" spans="1:16">
      <c r="A543" s="28" t="s">
        <v>128</v>
      </c>
      <c r="C543" s="28" t="s">
        <v>118</v>
      </c>
      <c r="D543" s="31">
        <f>2</f>
        <v>2</v>
      </c>
      <c r="E543" s="73">
        <f>1.25</f>
        <v>1.25</v>
      </c>
      <c r="F543" s="72">
        <f>2.45</f>
        <v>2.4500000000000002</v>
      </c>
      <c r="G543" s="31"/>
      <c r="H543" s="31" t="e">
        <f>#REF!*#REF!</f>
        <v>#REF!</v>
      </c>
      <c r="I543" s="31" t="e">
        <f>(D543+E543)*#REF!</f>
        <v>#REF!</v>
      </c>
      <c r="J543" s="31" t="e">
        <f>H543-I543</f>
        <v>#REF!</v>
      </c>
      <c r="L543" s="115"/>
      <c r="M543" s="72" t="e">
        <f t="shared" si="17"/>
        <v>#REF!</v>
      </c>
      <c r="O543" s="72"/>
    </row>
    <row r="544" spans="1:16">
      <c r="A544" s="28" t="s">
        <v>129</v>
      </c>
      <c r="C544" s="116" t="s">
        <v>130</v>
      </c>
      <c r="D544" s="117">
        <f>1.4</f>
        <v>1.4</v>
      </c>
      <c r="E544" s="118">
        <f>1.3</f>
        <v>1.3</v>
      </c>
      <c r="F544" s="72">
        <f>1.8</f>
        <v>1.8</v>
      </c>
      <c r="G544" s="31"/>
      <c r="H544" s="117" t="e">
        <f>#REF!*#REF!</f>
        <v>#REF!</v>
      </c>
      <c r="I544" s="117"/>
      <c r="J544" s="117" t="e">
        <f>H544-I544</f>
        <v>#REF!</v>
      </c>
      <c r="L544" s="117" t="e">
        <f>H544-(I544+J544)</f>
        <v>#REF!</v>
      </c>
      <c r="M544" s="72" t="e">
        <f t="shared" si="17"/>
        <v>#REF!</v>
      </c>
      <c r="O544" s="72"/>
    </row>
    <row r="545" spans="1:15">
      <c r="A545" s="28" t="s">
        <v>131</v>
      </c>
      <c r="C545" s="116" t="s">
        <v>132</v>
      </c>
      <c r="D545" s="117">
        <f>1.4</f>
        <v>1.4</v>
      </c>
      <c r="E545" s="118">
        <f>1.35</f>
        <v>1.35</v>
      </c>
      <c r="F545" s="72">
        <f>1.9</f>
        <v>1.9</v>
      </c>
      <c r="G545" s="31"/>
      <c r="H545" s="117" t="e">
        <f>#REF!*#REF!</f>
        <v>#REF!</v>
      </c>
      <c r="I545" s="117"/>
      <c r="J545" s="117" t="e">
        <f>D545*#REF!</f>
        <v>#REF!</v>
      </c>
      <c r="L545" s="117" t="e">
        <f>H545-(I545+J545)</f>
        <v>#REF!</v>
      </c>
      <c r="M545" s="72" t="e">
        <f t="shared" si="17"/>
        <v>#REF!</v>
      </c>
    </row>
    <row r="546" spans="1:15">
      <c r="A546" s="28" t="s">
        <v>133</v>
      </c>
      <c r="C546" s="28" t="s">
        <v>126</v>
      </c>
      <c r="D546" s="29">
        <f>F546/E546</f>
        <v>15.65</v>
      </c>
      <c r="E546" s="31">
        <f>2</f>
        <v>2</v>
      </c>
      <c r="F546" s="29">
        <f>31.3</f>
        <v>31.3</v>
      </c>
      <c r="H546" s="31" t="e">
        <f>#REF!*#REF!</f>
        <v>#REF!</v>
      </c>
      <c r="I546" s="29"/>
      <c r="J546" s="31" t="e">
        <f>H546-I546</f>
        <v>#REF!</v>
      </c>
      <c r="M546" s="72" t="e">
        <f t="shared" si="17"/>
        <v>#REF!</v>
      </c>
    </row>
    <row r="547" spans="1:15">
      <c r="A547" s="28" t="s">
        <v>134</v>
      </c>
      <c r="C547" s="28" t="s">
        <v>126</v>
      </c>
      <c r="D547" s="31">
        <f>F547/E547</f>
        <v>15.839285714285715</v>
      </c>
      <c r="E547" s="31">
        <f>2.8</f>
        <v>2.8</v>
      </c>
      <c r="F547" s="31">
        <f>44.35</f>
        <v>44.35</v>
      </c>
      <c r="H547" s="29" t="e">
        <f>#REF!*#REF!</f>
        <v>#REF!</v>
      </c>
      <c r="I547" s="29"/>
      <c r="J547" s="29" t="e">
        <f>H547-I547</f>
        <v>#REF!</v>
      </c>
      <c r="M547" s="72" t="e">
        <f t="shared" si="17"/>
        <v>#REF!</v>
      </c>
      <c r="O547" s="72"/>
    </row>
    <row r="548" spans="1:15">
      <c r="A548" s="28" t="s">
        <v>135</v>
      </c>
      <c r="C548" s="28" t="s">
        <v>136</v>
      </c>
      <c r="D548" s="31">
        <f>6.35</f>
        <v>6.35</v>
      </c>
      <c r="E548" s="31">
        <f>2.5</f>
        <v>2.5</v>
      </c>
      <c r="F548" s="31">
        <f>14.9</f>
        <v>14.9</v>
      </c>
      <c r="H548" s="29" t="e">
        <f>#REF!*#REF!</f>
        <v>#REF!</v>
      </c>
      <c r="I548" s="29" t="e">
        <f>(D548+E548)*#REF!</f>
        <v>#REF!</v>
      </c>
      <c r="J548" s="29" t="e">
        <f>H548-I548</f>
        <v>#REF!</v>
      </c>
      <c r="M548" s="72" t="e">
        <f t="shared" si="17"/>
        <v>#REF!</v>
      </c>
    </row>
    <row r="549" spans="1:15">
      <c r="A549" s="28" t="s">
        <v>137</v>
      </c>
      <c r="C549" s="28" t="s">
        <v>118</v>
      </c>
      <c r="D549" s="31">
        <f>2</f>
        <v>2</v>
      </c>
      <c r="E549" s="73">
        <f>1.35</f>
        <v>1.35</v>
      </c>
      <c r="F549" s="72">
        <f>2.25</f>
        <v>2.25</v>
      </c>
      <c r="G549" s="31"/>
      <c r="H549" s="31" t="e">
        <f>#REF!*#REF!</f>
        <v>#REF!</v>
      </c>
      <c r="I549" s="31" t="e">
        <f>(D549+E549)*#REF!</f>
        <v>#REF!</v>
      </c>
      <c r="J549" s="31" t="e">
        <f>H549-I549</f>
        <v>#REF!</v>
      </c>
      <c r="L549" s="115"/>
      <c r="M549" s="72" t="e">
        <f t="shared" si="17"/>
        <v>#REF!</v>
      </c>
    </row>
    <row r="550" spans="1:15">
      <c r="A550" s="28" t="s">
        <v>138</v>
      </c>
      <c r="C550" s="28" t="s">
        <v>118</v>
      </c>
      <c r="D550" s="31">
        <f>1.5</f>
        <v>1.5</v>
      </c>
      <c r="E550" s="73">
        <f>1.125</f>
        <v>1.125</v>
      </c>
      <c r="F550" s="72">
        <f>1.3</f>
        <v>1.3</v>
      </c>
      <c r="H550" s="29" t="e">
        <f>#REF!*#REF!</f>
        <v>#REF!</v>
      </c>
      <c r="I550" s="31" t="e">
        <f>(D550+E550)*#REF!</f>
        <v>#REF!</v>
      </c>
      <c r="J550" s="29" t="e">
        <f>H550-I550</f>
        <v>#REF!</v>
      </c>
      <c r="L550" s="115"/>
      <c r="M550" s="72" t="e">
        <f t="shared" si="17"/>
        <v>#REF!</v>
      </c>
    </row>
    <row r="551" spans="1:15">
      <c r="C551" s="28"/>
      <c r="D551" s="31"/>
      <c r="E551" s="73"/>
      <c r="F551" s="72"/>
      <c r="H551" s="29"/>
      <c r="L551" s="115"/>
      <c r="M551" s="72"/>
    </row>
    <row r="552" spans="1:15">
      <c r="C552" s="28"/>
      <c r="D552" s="31"/>
      <c r="E552" s="73"/>
      <c r="H552" s="29"/>
      <c r="L552" s="115"/>
      <c r="M552" s="72"/>
    </row>
    <row r="553" spans="1:15">
      <c r="C553" s="28"/>
      <c r="D553" s="31"/>
      <c r="E553" s="73"/>
      <c r="F553" s="72"/>
      <c r="H553" s="29"/>
      <c r="L553" s="115"/>
      <c r="M553" s="72"/>
    </row>
    <row r="554" spans="1:15">
      <c r="A554" s="29"/>
      <c r="B554" s="29"/>
      <c r="C554" s="107" t="s">
        <v>139</v>
      </c>
      <c r="D554" s="31"/>
      <c r="E554" s="119"/>
      <c r="F554" s="72"/>
      <c r="H554" s="29"/>
      <c r="I554" s="29"/>
      <c r="L554" s="115"/>
      <c r="M554" s="72">
        <f t="shared" ref="M554:M559" si="18">H554-(I554+J554+K554+L554)</f>
        <v>0</v>
      </c>
    </row>
    <row r="555" spans="1:15">
      <c r="A555" s="28" t="s">
        <v>140</v>
      </c>
      <c r="C555" s="28" t="s">
        <v>141</v>
      </c>
      <c r="D555" s="31">
        <f>4</f>
        <v>4</v>
      </c>
      <c r="E555" s="29">
        <f>2.875</f>
        <v>2.875</v>
      </c>
      <c r="F555" s="31">
        <f>11.3</f>
        <v>11.3</v>
      </c>
      <c r="H555" s="29" t="e">
        <f>#REF!*#REF!</f>
        <v>#REF!</v>
      </c>
      <c r="I555" s="31" t="e">
        <f>(E555)*#REF!</f>
        <v>#REF!</v>
      </c>
      <c r="J555" s="31" t="e">
        <f>(D555+E555)*#REF!</f>
        <v>#REF!</v>
      </c>
      <c r="K555" s="114" t="e">
        <f>H555-(I555+J555)</f>
        <v>#REF!</v>
      </c>
      <c r="M555" s="72" t="e">
        <f t="shared" si="18"/>
        <v>#REF!</v>
      </c>
      <c r="O555" s="72"/>
    </row>
    <row r="556" spans="1:15">
      <c r="A556" s="28" t="s">
        <v>142</v>
      </c>
      <c r="C556" s="28" t="s">
        <v>143</v>
      </c>
      <c r="D556" s="31">
        <f>4</f>
        <v>4</v>
      </c>
      <c r="E556" s="31">
        <f>3</f>
        <v>3</v>
      </c>
      <c r="F556" s="31">
        <f>12</f>
        <v>12</v>
      </c>
      <c r="H556" s="29" t="e">
        <f>#REF!*#REF!</f>
        <v>#REF!</v>
      </c>
      <c r="I556" s="31" t="e">
        <f>(E556)*#REF!</f>
        <v>#REF!</v>
      </c>
      <c r="J556" s="31" t="e">
        <f>(D556+E556)*#REF!</f>
        <v>#REF!</v>
      </c>
      <c r="K556" s="114" t="e">
        <f>H556-(I556+J556)</f>
        <v>#REF!</v>
      </c>
      <c r="M556" s="72" t="e">
        <f t="shared" si="18"/>
        <v>#REF!</v>
      </c>
      <c r="O556" s="72"/>
    </row>
    <row r="557" spans="1:15">
      <c r="A557" s="28" t="s">
        <v>144</v>
      </c>
      <c r="C557" s="28" t="s">
        <v>145</v>
      </c>
      <c r="D557" s="31">
        <f>5</f>
        <v>5</v>
      </c>
      <c r="E557" s="31">
        <f>4.8</f>
        <v>4.8</v>
      </c>
      <c r="F557" s="31">
        <f>22.5</f>
        <v>22.5</v>
      </c>
      <c r="G557" s="31"/>
      <c r="H557" s="29" t="e">
        <f>#REF!*#REF!</f>
        <v>#REF!</v>
      </c>
      <c r="I557" s="31" t="e">
        <f>(D557+E557)*#REF!</f>
        <v>#REF!</v>
      </c>
      <c r="J557" s="31" t="e">
        <f>(D557+E557)*#REF!</f>
        <v>#REF!</v>
      </c>
      <c r="K557" s="114" t="e">
        <f>H557-(I557+J557)</f>
        <v>#REF!</v>
      </c>
      <c r="M557" s="72" t="e">
        <f t="shared" si="18"/>
        <v>#REF!</v>
      </c>
      <c r="O557" s="72"/>
    </row>
    <row r="558" spans="1:15">
      <c r="A558" s="28" t="s">
        <v>146</v>
      </c>
      <c r="C558" s="28" t="s">
        <v>147</v>
      </c>
      <c r="D558" s="31">
        <f>4.8</f>
        <v>4.8</v>
      </c>
      <c r="E558" s="31">
        <f>2.425</f>
        <v>2.4249999999999998</v>
      </c>
      <c r="F558" s="31">
        <f>10.6</f>
        <v>10.6</v>
      </c>
      <c r="H558" s="29" t="e">
        <f>#REF!*#REF!</f>
        <v>#REF!</v>
      </c>
      <c r="I558" s="29"/>
      <c r="J558" s="31" t="e">
        <f>H558-I558</f>
        <v>#REF!</v>
      </c>
      <c r="M558" s="72" t="e">
        <f t="shared" si="18"/>
        <v>#REF!</v>
      </c>
      <c r="O558" s="72"/>
    </row>
    <row r="559" spans="1:15">
      <c r="A559" s="28" t="s">
        <v>148</v>
      </c>
      <c r="C559" s="28" t="s">
        <v>149</v>
      </c>
      <c r="D559" s="31">
        <f>7.55</f>
        <v>7.55</v>
      </c>
      <c r="E559" s="31">
        <f>4.8</f>
        <v>4.8</v>
      </c>
      <c r="F559" s="31">
        <f>34</f>
        <v>34</v>
      </c>
      <c r="G559" s="31"/>
      <c r="H559" s="31" t="e">
        <f>#REF!*#REF!</f>
        <v>#REF!</v>
      </c>
      <c r="I559" s="31" t="e">
        <f>(E559)*#REF!</f>
        <v>#REF!</v>
      </c>
      <c r="J559" s="31" t="e">
        <f>H559-I559</f>
        <v>#REF!</v>
      </c>
      <c r="M559" s="72" t="e">
        <f t="shared" si="18"/>
        <v>#REF!</v>
      </c>
    </row>
    <row r="560" spans="1:15">
      <c r="C560" s="28"/>
      <c r="D560" s="31"/>
      <c r="E560" s="31"/>
      <c r="F560" s="31"/>
      <c r="G560" s="31"/>
      <c r="J560" s="31"/>
      <c r="M560" s="72"/>
    </row>
    <row r="561" spans="1:15">
      <c r="C561" s="28"/>
      <c r="D561" s="31"/>
      <c r="E561" s="31"/>
      <c r="F561" s="31"/>
      <c r="G561" s="31"/>
      <c r="J561" s="31"/>
      <c r="M561" s="72"/>
    </row>
    <row r="562" spans="1:15">
      <c r="C562" s="28"/>
      <c r="D562" s="31"/>
      <c r="E562" s="31"/>
      <c r="J562" s="31"/>
      <c r="M562" s="72"/>
    </row>
    <row r="563" spans="1:15">
      <c r="C563" s="28"/>
      <c r="D563" s="31"/>
      <c r="E563" s="31"/>
      <c r="F563" s="31"/>
      <c r="G563" s="31"/>
      <c r="J563" s="31"/>
      <c r="M563" s="72"/>
    </row>
    <row r="564" spans="1:15">
      <c r="A564" s="29"/>
      <c r="B564" s="29"/>
      <c r="C564" s="107" t="s">
        <v>150</v>
      </c>
      <c r="D564" s="29"/>
      <c r="E564" s="31"/>
      <c r="G564" s="31"/>
      <c r="H564" s="29"/>
      <c r="I564" s="29"/>
      <c r="M564" s="72">
        <f>H564-(I564+J564+K564+L564)</f>
        <v>0</v>
      </c>
    </row>
    <row r="565" spans="1:15">
      <c r="A565" s="28" t="s">
        <v>151</v>
      </c>
      <c r="C565" s="120" t="s">
        <v>152</v>
      </c>
      <c r="D565" s="115">
        <f>6.3</f>
        <v>6.3</v>
      </c>
      <c r="E565" s="115">
        <f>2.9</f>
        <v>2.9</v>
      </c>
      <c r="F565" s="31">
        <f>18.15</f>
        <v>18.149999999999999</v>
      </c>
      <c r="H565" s="121" t="e">
        <f>#REF!*#REF!</f>
        <v>#REF!</v>
      </c>
      <c r="I565" s="115" t="e">
        <f>(E565)*#REF!</f>
        <v>#REF!</v>
      </c>
      <c r="J565" s="115" t="e">
        <f>(D565+E565)*#REF!</f>
        <v>#REF!</v>
      </c>
      <c r="K565" s="115" t="e">
        <f>H565-(I565+J565)</f>
        <v>#REF!</v>
      </c>
      <c r="M565" s="72" t="e">
        <f>H565-(I565+J565+K565+L565)</f>
        <v>#REF!</v>
      </c>
      <c r="O565" s="72"/>
    </row>
    <row r="566" spans="1:15">
      <c r="A566" s="28" t="s">
        <v>153</v>
      </c>
      <c r="C566" s="28" t="s">
        <v>154</v>
      </c>
      <c r="D566" s="31">
        <f>3.3</f>
        <v>3.3</v>
      </c>
      <c r="E566" s="73">
        <f>3</f>
        <v>3</v>
      </c>
      <c r="F566" s="72">
        <f>10</f>
        <v>10</v>
      </c>
      <c r="G566" s="31"/>
      <c r="H566" s="31" t="e">
        <f>#REF!*#REF!</f>
        <v>#REF!</v>
      </c>
      <c r="I566" s="31" t="e">
        <f>(E566)*#REF!</f>
        <v>#REF!</v>
      </c>
      <c r="J566" s="31" t="e">
        <f>(D566)*#REF!</f>
        <v>#REF!</v>
      </c>
      <c r="K566" s="114" t="e">
        <f>H566-(I566+J566)</f>
        <v>#REF!</v>
      </c>
      <c r="M566" s="72" t="e">
        <f>H566-(I566+J566+K566+L566)</f>
        <v>#REF!</v>
      </c>
    </row>
    <row r="567" spans="1:15">
      <c r="A567" s="28" t="s">
        <v>155</v>
      </c>
      <c r="C567" s="116" t="s">
        <v>132</v>
      </c>
      <c r="D567" s="117">
        <f>2.75</f>
        <v>2.75</v>
      </c>
      <c r="E567" s="122">
        <f>2.225</f>
        <v>2.2250000000000001</v>
      </c>
      <c r="F567" s="72">
        <f>6.15</f>
        <v>6.15</v>
      </c>
      <c r="G567" s="31"/>
      <c r="H567" s="117" t="e">
        <f>#REF!*#REF!</f>
        <v>#REF!</v>
      </c>
      <c r="I567" s="117"/>
      <c r="J567" s="117" t="e">
        <f>(E567+D567+E567)*#REF!</f>
        <v>#REF!</v>
      </c>
      <c r="L567" s="117" t="e">
        <f>H567-(I567+J567)</f>
        <v>#REF!</v>
      </c>
      <c r="M567" s="72" t="e">
        <f>H567-(I567+J567+K567+L567)</f>
        <v>#REF!</v>
      </c>
      <c r="O567" s="72"/>
    </row>
    <row r="568" spans="1:15">
      <c r="A568" s="28" t="s">
        <v>156</v>
      </c>
      <c r="C568" s="116" t="s">
        <v>157</v>
      </c>
      <c r="D568" s="117">
        <f>4</f>
        <v>4</v>
      </c>
      <c r="E568" s="118">
        <f>2.75</f>
        <v>2.75</v>
      </c>
      <c r="F568" s="72">
        <f>11.9</f>
        <v>11.9</v>
      </c>
      <c r="G568" s="31"/>
      <c r="H568" s="117" t="e">
        <f>#REF!*#REF!</f>
        <v>#REF!</v>
      </c>
      <c r="I568" s="117" t="e">
        <f>(E568)*#REF!</f>
        <v>#REF!</v>
      </c>
      <c r="J568" s="117" t="e">
        <f>(D568)*#REF!</f>
        <v>#REF!</v>
      </c>
      <c r="K568" s="114"/>
      <c r="L568" s="117" t="e">
        <f>H568-(I568+J568)</f>
        <v>#REF!</v>
      </c>
      <c r="M568" s="72"/>
      <c r="O568" s="72"/>
    </row>
    <row r="569" spans="1:15">
      <c r="A569" s="28" t="s">
        <v>158</v>
      </c>
      <c r="C569" s="116" t="s">
        <v>159</v>
      </c>
      <c r="D569" s="117">
        <f>6.3</f>
        <v>6.3</v>
      </c>
      <c r="E569" s="117">
        <f>2.9</f>
        <v>2.9</v>
      </c>
      <c r="F569" s="72">
        <f>18.4</f>
        <v>18.399999999999999</v>
      </c>
      <c r="G569" s="31"/>
      <c r="H569" s="117" t="e">
        <f>#REF!*#REF!</f>
        <v>#REF!</v>
      </c>
      <c r="I569" s="117" t="e">
        <f>(E569)*#REF!</f>
        <v>#REF!</v>
      </c>
      <c r="J569" s="117" t="e">
        <f>(D569+E569)*#REF!</f>
        <v>#REF!</v>
      </c>
      <c r="K569" s="114"/>
      <c r="L569" s="117" t="e">
        <f>H569-(I569+J569)</f>
        <v>#REF!</v>
      </c>
      <c r="M569" s="72"/>
    </row>
    <row r="570" spans="1:15">
      <c r="A570" s="28" t="s">
        <v>160</v>
      </c>
      <c r="C570" s="28" t="s">
        <v>161</v>
      </c>
      <c r="D570" s="108">
        <f>6.3</f>
        <v>6.3</v>
      </c>
      <c r="E570" s="73">
        <f>3</f>
        <v>3</v>
      </c>
      <c r="F570" s="72">
        <f>13.4</f>
        <v>13.4</v>
      </c>
      <c r="G570" s="31"/>
      <c r="H570" s="31" t="e">
        <f>#REF!*#REF!</f>
        <v>#REF!</v>
      </c>
      <c r="I570" s="31" t="e">
        <f>(E570)*#REF!</f>
        <v>#REF!</v>
      </c>
      <c r="J570" s="31" t="e">
        <f>(D570+E570)*#REF!</f>
        <v>#REF!</v>
      </c>
      <c r="K570" s="114" t="e">
        <f>H570-(I570+J570)</f>
        <v>#REF!</v>
      </c>
      <c r="L570" s="115"/>
      <c r="M570" s="72" t="e">
        <f>H570-(I570+J570+K570+L570)</f>
        <v>#REF!</v>
      </c>
      <c r="O570" s="72"/>
    </row>
    <row r="571" spans="1:15">
      <c r="A571" s="28" t="s">
        <v>162</v>
      </c>
      <c r="C571" s="116" t="s">
        <v>163</v>
      </c>
      <c r="D571" s="117">
        <f>2.2</f>
        <v>2.2000000000000002</v>
      </c>
      <c r="E571" s="118">
        <f>1.35</f>
        <v>1.35</v>
      </c>
      <c r="F571" s="72">
        <f>3</f>
        <v>3</v>
      </c>
      <c r="G571" s="31"/>
      <c r="H571" s="117" t="e">
        <f>#REF!*#REF!</f>
        <v>#REF!</v>
      </c>
      <c r="I571" s="117"/>
      <c r="J571" s="117" t="e">
        <f>(D571)*#REF!</f>
        <v>#REF!</v>
      </c>
      <c r="L571" s="117" t="e">
        <f>H571-(I571+J571)</f>
        <v>#REF!</v>
      </c>
      <c r="M571" s="72" t="e">
        <f>H571-(I571+J571+K571+L571)</f>
        <v>#REF!</v>
      </c>
      <c r="O571" s="117"/>
    </row>
    <row r="572" spans="1:15">
      <c r="A572" s="28" t="s">
        <v>164</v>
      </c>
      <c r="C572" s="116" t="s">
        <v>165</v>
      </c>
      <c r="D572" s="117">
        <f>1.35</f>
        <v>1.35</v>
      </c>
      <c r="E572" s="118">
        <f>0.85</f>
        <v>0.85</v>
      </c>
      <c r="F572" s="72">
        <f>1.15</f>
        <v>1.1499999999999999</v>
      </c>
      <c r="H572" s="117" t="e">
        <f>#REF!*#REF!</f>
        <v>#REF!</v>
      </c>
      <c r="I572" s="117"/>
      <c r="J572" s="117" t="e">
        <f>(E572)*#REF!</f>
        <v>#REF!</v>
      </c>
      <c r="L572" s="117" t="e">
        <f>H572-(I572+J572)</f>
        <v>#REF!</v>
      </c>
      <c r="M572" s="72" t="e">
        <f>H572-(I572+J572+K572+L572)</f>
        <v>#REF!</v>
      </c>
      <c r="O572" s="72"/>
    </row>
    <row r="573" spans="1:15">
      <c r="C573" s="116"/>
      <c r="D573" s="117"/>
      <c r="E573" s="118"/>
      <c r="F573" s="72"/>
      <c r="H573" s="117"/>
      <c r="I573" s="117"/>
      <c r="J573" s="117"/>
      <c r="L573" s="117"/>
      <c r="M573" s="72"/>
      <c r="O573" s="72"/>
    </row>
    <row r="574" spans="1:15">
      <c r="A574" s="29"/>
      <c r="B574" s="29"/>
      <c r="C574" s="107" t="s">
        <v>166</v>
      </c>
      <c r="D574" s="117"/>
      <c r="E574" s="118"/>
      <c r="F574" s="72"/>
      <c r="G574" s="31"/>
      <c r="H574" s="117"/>
      <c r="I574" s="29"/>
      <c r="J574" s="117"/>
      <c r="L574" s="117"/>
      <c r="M574" s="72">
        <f t="shared" ref="M574:M601" si="19">H574-(I574+J574+K574+L574)</f>
        <v>0</v>
      </c>
      <c r="O574" s="117"/>
    </row>
    <row r="575" spans="1:15">
      <c r="A575" s="28" t="s">
        <v>167</v>
      </c>
      <c r="C575" s="28" t="s">
        <v>168</v>
      </c>
      <c r="D575" s="108">
        <f>6.3</f>
        <v>6.3</v>
      </c>
      <c r="E575" s="73">
        <f>4.5</f>
        <v>4.5</v>
      </c>
      <c r="F575" s="72">
        <f>19.75</f>
        <v>19.75</v>
      </c>
      <c r="G575" s="31"/>
      <c r="H575" s="31" t="e">
        <f>#REF!*#REF!</f>
        <v>#REF!</v>
      </c>
      <c r="I575" s="31" t="e">
        <f>(E575)*#REF!</f>
        <v>#REF!</v>
      </c>
      <c r="J575" s="31" t="e">
        <f>(D575+E575)*#REF!</f>
        <v>#REF!</v>
      </c>
      <c r="K575" s="114" t="e">
        <f>H575-(I575+J575)</f>
        <v>#REF!</v>
      </c>
      <c r="M575" s="72" t="e">
        <f t="shared" si="19"/>
        <v>#REF!</v>
      </c>
    </row>
    <row r="576" spans="1:15">
      <c r="A576" s="28" t="s">
        <v>169</v>
      </c>
      <c r="C576" s="116" t="s">
        <v>170</v>
      </c>
      <c r="D576" s="117">
        <f>F576/E576</f>
        <v>2.9999999999999996</v>
      </c>
      <c r="E576" s="117">
        <f>2.7</f>
        <v>2.7</v>
      </c>
      <c r="F576" s="31">
        <f>8.1</f>
        <v>8.1</v>
      </c>
      <c r="H576" s="117" t="e">
        <f>#REF!*#REF!</f>
        <v>#REF!</v>
      </c>
      <c r="I576" s="117"/>
      <c r="J576" s="117" t="e">
        <f>(E576+D576)*#REF!</f>
        <v>#REF!</v>
      </c>
      <c r="L576" s="117" t="e">
        <f>H576-(I576+J576)</f>
        <v>#REF!</v>
      </c>
      <c r="M576" s="72" t="e">
        <f t="shared" si="19"/>
        <v>#REF!</v>
      </c>
    </row>
    <row r="577" spans="1:15">
      <c r="A577" s="28" t="s">
        <v>171</v>
      </c>
      <c r="C577" s="28" t="s">
        <v>172</v>
      </c>
      <c r="D577" s="108">
        <f>2.7</f>
        <v>2.7</v>
      </c>
      <c r="E577" s="73">
        <f>2.5</f>
        <v>2.5</v>
      </c>
      <c r="F577" s="72">
        <f>6.75</f>
        <v>6.75</v>
      </c>
      <c r="G577" s="31"/>
      <c r="H577" s="31" t="e">
        <f>#REF!*#REF!</f>
        <v>#REF!</v>
      </c>
      <c r="J577" s="31" t="e">
        <f>(D577+E577)*#REF!</f>
        <v>#REF!</v>
      </c>
      <c r="K577" s="114" t="e">
        <f>H577-(I577+J577)</f>
        <v>#REF!</v>
      </c>
      <c r="L577" s="72"/>
      <c r="M577" s="72" t="e">
        <f t="shared" si="19"/>
        <v>#REF!</v>
      </c>
      <c r="O577" s="72"/>
    </row>
    <row r="578" spans="1:15">
      <c r="A578" s="28" t="s">
        <v>173</v>
      </c>
      <c r="C578" s="28" t="s">
        <v>174</v>
      </c>
      <c r="D578" s="108">
        <f>6.3</f>
        <v>6.3</v>
      </c>
      <c r="E578" s="73">
        <f>4.5</f>
        <v>4.5</v>
      </c>
      <c r="F578" s="72">
        <f>21.6</f>
        <v>21.6</v>
      </c>
      <c r="G578" s="31"/>
      <c r="H578" s="31" t="e">
        <f>#REF!*#REF!</f>
        <v>#REF!</v>
      </c>
      <c r="I578" s="31" t="e">
        <f>(E578)*#REF!</f>
        <v>#REF!</v>
      </c>
      <c r="J578" s="31" t="e">
        <f>(D578+E578)*#REF!</f>
        <v>#REF!</v>
      </c>
      <c r="K578" s="114" t="e">
        <f>H578-(I578+J578)</f>
        <v>#REF!</v>
      </c>
      <c r="L578" s="72"/>
      <c r="M578" s="72" t="e">
        <f t="shared" si="19"/>
        <v>#REF!</v>
      </c>
      <c r="O578" s="72"/>
    </row>
    <row r="579" spans="1:15">
      <c r="A579" s="28" t="s">
        <v>175</v>
      </c>
      <c r="C579" s="28" t="s">
        <v>176</v>
      </c>
      <c r="D579" s="108">
        <f>4.5</f>
        <v>4.5</v>
      </c>
      <c r="E579" s="73">
        <f>2.7</f>
        <v>2.7</v>
      </c>
      <c r="F579" s="72">
        <f>12.15</f>
        <v>12.15</v>
      </c>
      <c r="G579" s="31"/>
      <c r="H579" s="31" t="e">
        <f>#REF!*#REF!</f>
        <v>#REF!</v>
      </c>
      <c r="I579" s="31" t="e">
        <f>(D579)*#REF!</f>
        <v>#REF!</v>
      </c>
      <c r="J579" s="31" t="e">
        <f>(E579+E579)*#REF!</f>
        <v>#REF!</v>
      </c>
      <c r="K579" s="114" t="e">
        <f>H579-(I579+J579)</f>
        <v>#REF!</v>
      </c>
      <c r="L579" s="72"/>
      <c r="M579" s="72" t="e">
        <f t="shared" si="19"/>
        <v>#REF!</v>
      </c>
      <c r="O579" s="72"/>
    </row>
    <row r="580" spans="1:15">
      <c r="A580" s="28" t="s">
        <v>177</v>
      </c>
      <c r="C580" s="28" t="s">
        <v>178</v>
      </c>
      <c r="D580" s="108">
        <f>3.5</f>
        <v>3.5</v>
      </c>
      <c r="E580" s="73">
        <f>1.8</f>
        <v>1.8</v>
      </c>
      <c r="F580" s="72">
        <f>5.9</f>
        <v>5.9</v>
      </c>
      <c r="G580" s="31"/>
      <c r="H580" s="31" t="e">
        <f>#REF!*#REF!</f>
        <v>#REF!</v>
      </c>
      <c r="J580" s="31"/>
      <c r="K580" s="114" t="e">
        <f>H580-(I580+J580)</f>
        <v>#REF!</v>
      </c>
      <c r="L580" s="72"/>
      <c r="M580" s="72" t="e">
        <f t="shared" si="19"/>
        <v>#REF!</v>
      </c>
      <c r="O580" s="72"/>
    </row>
    <row r="581" spans="1:15">
      <c r="A581" s="28" t="s">
        <v>179</v>
      </c>
      <c r="C581" s="116" t="s">
        <v>180</v>
      </c>
      <c r="D581" s="117">
        <f>1.65</f>
        <v>1.65</v>
      </c>
      <c r="E581" s="118">
        <f>1.4</f>
        <v>1.4</v>
      </c>
      <c r="F581" s="72">
        <f>2.3</f>
        <v>2.2999999999999998</v>
      </c>
      <c r="G581" s="31"/>
      <c r="H581" s="117" t="e">
        <f>#REF!*#REF!</f>
        <v>#REF!</v>
      </c>
      <c r="I581" s="29"/>
      <c r="J581" s="117" t="e">
        <f>(D581)*#REF!</f>
        <v>#REF!</v>
      </c>
      <c r="L581" s="117" t="e">
        <f>H581-(I581+J581)</f>
        <v>#REF!</v>
      </c>
      <c r="M581" s="72" t="e">
        <f t="shared" si="19"/>
        <v>#REF!</v>
      </c>
      <c r="O581" s="117"/>
    </row>
    <row r="582" spans="1:15">
      <c r="A582" s="28" t="s">
        <v>181</v>
      </c>
      <c r="C582" s="116" t="s">
        <v>132</v>
      </c>
      <c r="D582" s="117">
        <f>1.55</f>
        <v>1.55</v>
      </c>
      <c r="E582" s="118">
        <f>1.4</f>
        <v>1.4</v>
      </c>
      <c r="F582" s="72">
        <f>2.15</f>
        <v>2.15</v>
      </c>
      <c r="G582" s="31"/>
      <c r="H582" s="117" t="e">
        <f>#REF!*#REF!</f>
        <v>#REF!</v>
      </c>
      <c r="I582" s="29"/>
      <c r="J582" s="117" t="e">
        <f>(E582)*#REF!</f>
        <v>#REF!</v>
      </c>
      <c r="L582" s="117" t="e">
        <f>H582-(I582+J582)</f>
        <v>#REF!</v>
      </c>
      <c r="M582" s="72" t="e">
        <f t="shared" si="19"/>
        <v>#REF!</v>
      </c>
      <c r="O582" s="117"/>
    </row>
    <row r="583" spans="1:15">
      <c r="A583" s="28" t="s">
        <v>182</v>
      </c>
      <c r="C583" s="28" t="s">
        <v>183</v>
      </c>
      <c r="D583" s="108">
        <f>6.3</f>
        <v>6.3</v>
      </c>
      <c r="E583" s="73">
        <f>4.5</f>
        <v>4.5</v>
      </c>
      <c r="F583" s="72">
        <f>22</f>
        <v>22</v>
      </c>
      <c r="G583" s="31"/>
      <c r="H583" s="31" t="e">
        <f>#REF!*#REF!</f>
        <v>#REF!</v>
      </c>
      <c r="I583" s="31" t="e">
        <f>(E583)*#REF!</f>
        <v>#REF!</v>
      </c>
      <c r="J583" s="31" t="e">
        <f>(D583+D583)*#REF!</f>
        <v>#REF!</v>
      </c>
      <c r="K583" s="114" t="e">
        <f>H583-(I583+J583)</f>
        <v>#REF!</v>
      </c>
      <c r="L583" s="72"/>
      <c r="M583" s="72" t="e">
        <f t="shared" si="19"/>
        <v>#REF!</v>
      </c>
      <c r="O583" s="72"/>
    </row>
    <row r="584" spans="1:15">
      <c r="A584" s="28" t="s">
        <v>184</v>
      </c>
      <c r="C584" s="116" t="s">
        <v>180</v>
      </c>
      <c r="D584" s="117">
        <f>1.8</f>
        <v>1.8</v>
      </c>
      <c r="E584" s="118">
        <f>0.9</f>
        <v>0.9</v>
      </c>
      <c r="F584" s="72">
        <f>1.6</f>
        <v>1.6</v>
      </c>
      <c r="G584" s="31"/>
      <c r="H584" s="117" t="e">
        <f>#REF!*#REF!</f>
        <v>#REF!</v>
      </c>
      <c r="I584" s="29"/>
      <c r="J584" s="117" t="e">
        <f>(E584)*#REF!</f>
        <v>#REF!</v>
      </c>
      <c r="L584" s="117" t="e">
        <f>H584-(I584+J584)</f>
        <v>#REF!</v>
      </c>
      <c r="M584" s="72" t="e">
        <f t="shared" si="19"/>
        <v>#REF!</v>
      </c>
      <c r="O584" s="117"/>
    </row>
    <row r="585" spans="1:15">
      <c r="A585" s="28" t="s">
        <v>185</v>
      </c>
      <c r="C585" s="116" t="s">
        <v>180</v>
      </c>
      <c r="D585" s="117">
        <f>1.8</f>
        <v>1.8</v>
      </c>
      <c r="E585" s="118">
        <f>0.9</f>
        <v>0.9</v>
      </c>
      <c r="F585" s="72">
        <f>1.6</f>
        <v>1.6</v>
      </c>
      <c r="G585" s="31"/>
      <c r="H585" s="117" t="e">
        <f>#REF!*#REF!</f>
        <v>#REF!</v>
      </c>
      <c r="I585" s="29"/>
      <c r="J585" s="117" t="e">
        <f>(E585)*#REF!</f>
        <v>#REF!</v>
      </c>
      <c r="L585" s="117" t="e">
        <f>H585-(I585+J585)</f>
        <v>#REF!</v>
      </c>
      <c r="M585" s="72" t="e">
        <f t="shared" si="19"/>
        <v>#REF!</v>
      </c>
      <c r="O585" s="117"/>
    </row>
    <row r="586" spans="1:15">
      <c r="A586" s="28" t="s">
        <v>186</v>
      </c>
      <c r="C586" s="116" t="s">
        <v>132</v>
      </c>
      <c r="D586" s="117">
        <f>1.8</f>
        <v>1.8</v>
      </c>
      <c r="E586" s="118">
        <f>1.35</f>
        <v>1.35</v>
      </c>
      <c r="F586" s="72">
        <f>2.4</f>
        <v>2.4</v>
      </c>
      <c r="G586" s="31"/>
      <c r="H586" s="117" t="e">
        <f>#REF!*#REF!</f>
        <v>#REF!</v>
      </c>
      <c r="I586" s="29"/>
      <c r="J586" s="117" t="e">
        <f>(E586)*#REF!</f>
        <v>#REF!</v>
      </c>
      <c r="L586" s="117" t="e">
        <f>H586-(I586+J586)</f>
        <v>#REF!</v>
      </c>
      <c r="M586" s="72" t="e">
        <f t="shared" si="19"/>
        <v>#REF!</v>
      </c>
      <c r="O586" s="117"/>
    </row>
    <row r="587" spans="1:15">
      <c r="A587" s="28" t="s">
        <v>187</v>
      </c>
      <c r="C587" s="28" t="s">
        <v>188</v>
      </c>
      <c r="D587" s="108">
        <f>5.4</f>
        <v>5.4</v>
      </c>
      <c r="E587" s="73">
        <f>2.9</f>
        <v>2.9</v>
      </c>
      <c r="F587" s="72">
        <f>15.7</f>
        <v>15.7</v>
      </c>
      <c r="G587" s="31"/>
      <c r="H587" s="31" t="e">
        <f>#REF!*#REF!</f>
        <v>#REF!</v>
      </c>
      <c r="I587" s="31" t="e">
        <f>(D587+E587)*#REF!</f>
        <v>#REF!</v>
      </c>
      <c r="J587" s="31"/>
      <c r="K587" s="114" t="e">
        <f t="shared" ref="K587:K592" si="20">H587-(I587+J587)</f>
        <v>#REF!</v>
      </c>
      <c r="L587" s="72"/>
      <c r="M587" s="72" t="e">
        <f t="shared" si="19"/>
        <v>#REF!</v>
      </c>
      <c r="O587" s="72"/>
    </row>
    <row r="588" spans="1:15">
      <c r="A588" s="28" t="s">
        <v>189</v>
      </c>
      <c r="C588" s="28" t="s">
        <v>188</v>
      </c>
      <c r="D588" s="108">
        <f>5.4</f>
        <v>5.4</v>
      </c>
      <c r="E588" s="73">
        <f>3.1</f>
        <v>3.1</v>
      </c>
      <c r="F588" s="72">
        <f>16.8</f>
        <v>16.8</v>
      </c>
      <c r="G588" s="31"/>
      <c r="H588" s="31" t="e">
        <f>#REF!*#REF!</f>
        <v>#REF!</v>
      </c>
      <c r="I588" s="31" t="e">
        <f>(E588)*#REF!</f>
        <v>#REF!</v>
      </c>
      <c r="J588" s="31" t="e">
        <f>(D588)*#REF!</f>
        <v>#REF!</v>
      </c>
      <c r="K588" s="114" t="e">
        <f t="shared" si="20"/>
        <v>#REF!</v>
      </c>
      <c r="L588" s="72"/>
      <c r="M588" s="72" t="e">
        <f t="shared" si="19"/>
        <v>#REF!</v>
      </c>
      <c r="O588" s="72"/>
    </row>
    <row r="589" spans="1:15">
      <c r="A589" s="28" t="s">
        <v>190</v>
      </c>
      <c r="C589" s="28" t="s">
        <v>188</v>
      </c>
      <c r="D589" s="108">
        <f>5.4</f>
        <v>5.4</v>
      </c>
      <c r="E589" s="73">
        <f>2.9</f>
        <v>2.9</v>
      </c>
      <c r="F589" s="72">
        <f>15.7</f>
        <v>15.7</v>
      </c>
      <c r="G589" s="31"/>
      <c r="H589" s="31" t="e">
        <f>#REF!*#REF!</f>
        <v>#REF!</v>
      </c>
      <c r="I589" s="31" t="e">
        <f>(E589)*#REF!</f>
        <v>#REF!</v>
      </c>
      <c r="J589" s="31" t="e">
        <f>(D589)*#REF!</f>
        <v>#REF!</v>
      </c>
      <c r="K589" s="114" t="e">
        <f t="shared" si="20"/>
        <v>#REF!</v>
      </c>
      <c r="L589" s="72"/>
      <c r="M589" s="72" t="e">
        <f t="shared" si="19"/>
        <v>#REF!</v>
      </c>
      <c r="O589" s="72"/>
    </row>
    <row r="590" spans="1:15">
      <c r="A590" s="28" t="s">
        <v>191</v>
      </c>
      <c r="C590" s="28" t="s">
        <v>188</v>
      </c>
      <c r="D590" s="108">
        <f>5.4</f>
        <v>5.4</v>
      </c>
      <c r="E590" s="73">
        <f>3.1</f>
        <v>3.1</v>
      </c>
      <c r="F590" s="72">
        <f>16.8</f>
        <v>16.8</v>
      </c>
      <c r="G590" s="31"/>
      <c r="H590" s="31" t="e">
        <f>#REF!*#REF!</f>
        <v>#REF!</v>
      </c>
      <c r="I590" s="31" t="e">
        <f>(E590)*#REF!</f>
        <v>#REF!</v>
      </c>
      <c r="J590" s="31" t="e">
        <f>(D590)*#REF!</f>
        <v>#REF!</v>
      </c>
      <c r="K590" s="114" t="e">
        <f t="shared" si="20"/>
        <v>#REF!</v>
      </c>
      <c r="L590" s="72"/>
      <c r="M590" s="72" t="e">
        <f t="shared" si="19"/>
        <v>#REF!</v>
      </c>
      <c r="O590" s="72"/>
    </row>
    <row r="591" spans="1:15">
      <c r="A591" s="28" t="s">
        <v>192</v>
      </c>
      <c r="C591" s="28" t="s">
        <v>188</v>
      </c>
      <c r="D591" s="108">
        <f>6.3</f>
        <v>6.3</v>
      </c>
      <c r="E591" s="73">
        <f>2.9</f>
        <v>2.9</v>
      </c>
      <c r="F591" s="72">
        <f>15.3</f>
        <v>15.3</v>
      </c>
      <c r="G591" s="31"/>
      <c r="H591" s="31" t="e">
        <f>#REF!*#REF!</f>
        <v>#REF!</v>
      </c>
      <c r="I591" s="31" t="e">
        <f>(E591)*#REF!</f>
        <v>#REF!</v>
      </c>
      <c r="J591" s="31" t="e">
        <f>(D591+D591)*#REF!</f>
        <v>#REF!</v>
      </c>
      <c r="K591" s="114" t="e">
        <f t="shared" si="20"/>
        <v>#REF!</v>
      </c>
      <c r="L591" s="72"/>
      <c r="M591" s="72" t="e">
        <f t="shared" si="19"/>
        <v>#REF!</v>
      </c>
      <c r="O591" s="72"/>
    </row>
    <row r="592" spans="1:15">
      <c r="A592" s="28" t="s">
        <v>193</v>
      </c>
      <c r="C592" s="28" t="s">
        <v>194</v>
      </c>
      <c r="D592" s="108">
        <f>1.7</f>
        <v>1.7</v>
      </c>
      <c r="E592" s="73">
        <f>1.5</f>
        <v>1.5</v>
      </c>
      <c r="F592" s="72">
        <f>2.55</f>
        <v>2.5499999999999998</v>
      </c>
      <c r="G592" s="31"/>
      <c r="H592" s="31" t="e">
        <f>#REF!*#REF!</f>
        <v>#REF!</v>
      </c>
      <c r="J592" s="31" t="e">
        <f>(E592)*#REF!</f>
        <v>#REF!</v>
      </c>
      <c r="K592" s="114" t="e">
        <f t="shared" si="20"/>
        <v>#REF!</v>
      </c>
      <c r="L592" s="72"/>
      <c r="M592" s="72" t="e">
        <f t="shared" si="19"/>
        <v>#REF!</v>
      </c>
      <c r="O592" s="72"/>
    </row>
    <row r="593" spans="1:15">
      <c r="A593" s="29"/>
      <c r="B593" s="29"/>
      <c r="C593" s="28"/>
      <c r="D593" s="108"/>
      <c r="E593" s="73"/>
      <c r="F593" s="72"/>
      <c r="J593" s="109"/>
      <c r="L593" s="72"/>
      <c r="M593" s="72">
        <f t="shared" si="19"/>
        <v>0</v>
      </c>
      <c r="O593" s="72"/>
    </row>
    <row r="594" spans="1:15">
      <c r="A594" s="29"/>
      <c r="B594" s="29"/>
      <c r="C594" s="107" t="s">
        <v>195</v>
      </c>
      <c r="D594" s="108"/>
      <c r="E594" s="73"/>
      <c r="F594" s="72"/>
      <c r="G594" s="31"/>
      <c r="J594" s="109"/>
      <c r="L594" s="72"/>
      <c r="M594" s="72">
        <f t="shared" si="19"/>
        <v>0</v>
      </c>
      <c r="O594" s="72"/>
    </row>
    <row r="595" spans="1:15">
      <c r="A595" s="28" t="s">
        <v>196</v>
      </c>
      <c r="C595" s="28" t="s">
        <v>197</v>
      </c>
      <c r="D595" s="108">
        <f>6.3</f>
        <v>6.3</v>
      </c>
      <c r="E595" s="73">
        <f>4.5</f>
        <v>4.5</v>
      </c>
      <c r="F595" s="72">
        <f>18.65</f>
        <v>18.649999999999999</v>
      </c>
      <c r="G595" s="31"/>
      <c r="H595" s="31" t="e">
        <f>#REF!*#REF!</f>
        <v>#REF!</v>
      </c>
      <c r="I595" s="31" t="e">
        <f>(E595)*#REF!</f>
        <v>#REF!</v>
      </c>
      <c r="J595" s="31" t="e">
        <f>(D595+D595)*#REF!</f>
        <v>#REF!</v>
      </c>
      <c r="K595" s="114" t="e">
        <f>H595-(I595+J595)</f>
        <v>#REF!</v>
      </c>
      <c r="L595" s="72"/>
      <c r="M595" s="72" t="e">
        <f t="shared" si="19"/>
        <v>#REF!</v>
      </c>
      <c r="O595" s="72"/>
    </row>
    <row r="596" spans="1:15">
      <c r="A596" s="28" t="s">
        <v>198</v>
      </c>
      <c r="C596" s="116" t="s">
        <v>199</v>
      </c>
      <c r="D596" s="117">
        <f>6.3</f>
        <v>6.3</v>
      </c>
      <c r="E596" s="118">
        <f>4.5</f>
        <v>4.5</v>
      </c>
      <c r="F596" s="72">
        <f>25.1</f>
        <v>25.1</v>
      </c>
      <c r="G596" s="31"/>
      <c r="H596" s="117" t="e">
        <f>#REF!*#REF!</f>
        <v>#REF!</v>
      </c>
      <c r="I596" s="117" t="e">
        <f>E596*#REF!</f>
        <v>#REF!</v>
      </c>
      <c r="J596" s="117" t="e">
        <f>(D596+D596)*#REF!</f>
        <v>#REF!</v>
      </c>
      <c r="L596" s="117" t="e">
        <f>H596-(I596+J596)</f>
        <v>#REF!</v>
      </c>
      <c r="M596" s="72" t="e">
        <f t="shared" si="19"/>
        <v>#REF!</v>
      </c>
      <c r="O596" s="117"/>
    </row>
    <row r="597" spans="1:15">
      <c r="A597" s="28" t="s">
        <v>200</v>
      </c>
      <c r="C597" s="116" t="s">
        <v>132</v>
      </c>
      <c r="D597" s="117">
        <f>2.1</f>
        <v>2.1</v>
      </c>
      <c r="E597" s="118">
        <f>1</f>
        <v>1</v>
      </c>
      <c r="F597" s="72">
        <f>2.1</f>
        <v>2.1</v>
      </c>
      <c r="G597" s="31"/>
      <c r="H597" s="117" t="e">
        <f>#REF!*#REF!</f>
        <v>#REF!</v>
      </c>
      <c r="I597" s="29"/>
      <c r="J597" s="117" t="e">
        <f>(D597+E597)*#REF!</f>
        <v>#REF!</v>
      </c>
      <c r="L597" s="117" t="e">
        <f>H597-(I597+J597)</f>
        <v>#REF!</v>
      </c>
      <c r="M597" s="72" t="e">
        <f t="shared" si="19"/>
        <v>#REF!</v>
      </c>
      <c r="O597" s="117"/>
    </row>
    <row r="598" spans="1:15">
      <c r="A598" s="28" t="s">
        <v>201</v>
      </c>
      <c r="C598" s="28" t="s">
        <v>202</v>
      </c>
      <c r="D598" s="108">
        <f>17.1</f>
        <v>17.100000000000001</v>
      </c>
      <c r="E598" s="73">
        <f>11.7</f>
        <v>11.7</v>
      </c>
      <c r="F598" s="72">
        <f>195.6</f>
        <v>195.6</v>
      </c>
      <c r="G598" s="31"/>
      <c r="H598" s="31" t="e">
        <f>#REF!*4.3</f>
        <v>#REF!</v>
      </c>
      <c r="I598" s="31">
        <f>(2.5+D598+E598+D598)*4.3</f>
        <v>208.12</v>
      </c>
      <c r="J598" s="31">
        <f>(E598-2.5)*4.3</f>
        <v>39.559999999999995</v>
      </c>
      <c r="K598" s="114"/>
      <c r="L598" s="72"/>
      <c r="M598" s="72" t="e">
        <f t="shared" si="19"/>
        <v>#REF!</v>
      </c>
      <c r="O598" s="72"/>
    </row>
    <row r="599" spans="1:15">
      <c r="A599" s="28" t="s">
        <v>203</v>
      </c>
      <c r="C599" s="28" t="s">
        <v>204</v>
      </c>
      <c r="D599" s="108">
        <f>3</f>
        <v>3</v>
      </c>
      <c r="E599" s="73">
        <f>2.37</f>
        <v>2.37</v>
      </c>
      <c r="F599" s="72">
        <f>8.2</f>
        <v>8.1999999999999993</v>
      </c>
      <c r="G599" s="31"/>
      <c r="H599" s="31" t="e">
        <f>#REF!*#REF!</f>
        <v>#REF!</v>
      </c>
      <c r="I599" s="31" t="e">
        <f>(D599)*#REF!</f>
        <v>#REF!</v>
      </c>
      <c r="J599" s="31" t="e">
        <f>(E599+E599)*#REF!</f>
        <v>#REF!</v>
      </c>
      <c r="K599" s="114" t="e">
        <f>H599-(I599+J599)</f>
        <v>#REF!</v>
      </c>
      <c r="L599" s="115"/>
      <c r="M599" s="72" t="e">
        <f t="shared" si="19"/>
        <v>#REF!</v>
      </c>
      <c r="O599" s="72"/>
    </row>
    <row r="600" spans="1:15">
      <c r="A600" s="29"/>
      <c r="B600" s="29"/>
      <c r="C600" s="28"/>
      <c r="D600" s="108"/>
      <c r="E600" s="73"/>
      <c r="F600" s="72"/>
      <c r="G600" s="31"/>
      <c r="J600" s="109"/>
      <c r="L600" s="115"/>
      <c r="M600" s="72">
        <f t="shared" si="19"/>
        <v>0</v>
      </c>
      <c r="O600" s="72"/>
    </row>
    <row r="601" spans="1:15">
      <c r="A601" s="29"/>
      <c r="B601" s="29"/>
      <c r="C601" s="28"/>
      <c r="D601" s="108"/>
      <c r="E601" s="73"/>
      <c r="G601" s="31"/>
      <c r="J601" s="109"/>
      <c r="L601" s="115"/>
      <c r="M601" s="72">
        <f t="shared" si="19"/>
        <v>0</v>
      </c>
      <c r="O601" s="72"/>
    </row>
    <row r="602" spans="1:15">
      <c r="A602" s="29"/>
      <c r="B602" s="29"/>
      <c r="C602" s="28"/>
      <c r="D602" s="108"/>
      <c r="E602" s="73"/>
      <c r="J602" s="109"/>
      <c r="L602" s="115"/>
      <c r="M602" s="72"/>
      <c r="O602" s="72"/>
    </row>
    <row r="603" spans="1:15">
      <c r="A603" s="29"/>
      <c r="B603" s="29"/>
      <c r="C603" s="28"/>
      <c r="D603" s="108"/>
      <c r="E603" s="73"/>
      <c r="F603" s="72"/>
      <c r="G603" s="31"/>
      <c r="J603" s="109"/>
      <c r="L603" s="115"/>
      <c r="M603" s="72"/>
      <c r="O603" s="72"/>
    </row>
    <row r="604" spans="1:15">
      <c r="A604" s="29"/>
      <c r="B604" s="29"/>
      <c r="C604" s="107" t="s">
        <v>205</v>
      </c>
      <c r="D604" s="108"/>
      <c r="E604" s="73"/>
      <c r="F604" s="72"/>
      <c r="G604" s="31"/>
      <c r="J604" s="109"/>
      <c r="L604" s="115"/>
      <c r="M604" s="72">
        <f t="shared" ref="M604:M615" si="21">H604-(I604+J604+K604+L604)</f>
        <v>0</v>
      </c>
      <c r="O604" s="72"/>
    </row>
    <row r="605" spans="1:15">
      <c r="A605" s="73" t="s">
        <v>206</v>
      </c>
      <c r="B605" s="73"/>
      <c r="C605" s="28" t="s">
        <v>207</v>
      </c>
      <c r="D605" s="31">
        <f>6.3</f>
        <v>6.3</v>
      </c>
      <c r="E605" s="31">
        <f>6.2</f>
        <v>6.2</v>
      </c>
      <c r="F605" s="72">
        <f>37.5</f>
        <v>37.5</v>
      </c>
      <c r="G605" s="31"/>
      <c r="H605" s="31" t="e">
        <f>#REF!*#REF!</f>
        <v>#REF!</v>
      </c>
      <c r="I605" s="31" t="e">
        <f>(D605+E605)*#REF!</f>
        <v>#REF!</v>
      </c>
      <c r="J605" s="31" t="e">
        <f>(D605+E605)*#REF!</f>
        <v>#REF!</v>
      </c>
      <c r="K605" s="114" t="e">
        <f>H605-(I605+J605)</f>
        <v>#REF!</v>
      </c>
      <c r="L605" s="115"/>
      <c r="M605" s="72" t="e">
        <f t="shared" si="21"/>
        <v>#REF!</v>
      </c>
      <c r="O605" s="72"/>
    </row>
    <row r="606" spans="1:15">
      <c r="A606" s="73" t="s">
        <v>208</v>
      </c>
      <c r="B606" s="73"/>
      <c r="C606" s="116" t="s">
        <v>209</v>
      </c>
      <c r="D606" s="31">
        <f>6.3</f>
        <v>6.3</v>
      </c>
      <c r="E606" s="31">
        <f>6.2</f>
        <v>6.2</v>
      </c>
      <c r="F606" s="72">
        <f>30.85</f>
        <v>30.85</v>
      </c>
      <c r="G606" s="31"/>
      <c r="H606" s="117" t="e">
        <f>#REF!*#REF!</f>
        <v>#REF!</v>
      </c>
      <c r="I606" s="29"/>
      <c r="J606" s="117" t="e">
        <f>(D606+D606)*#REF!</f>
        <v>#REF!</v>
      </c>
      <c r="L606" s="117" t="e">
        <f>H606-(I606+J606)</f>
        <v>#REF!</v>
      </c>
      <c r="M606" s="72" t="e">
        <f t="shared" si="21"/>
        <v>#REF!</v>
      </c>
      <c r="O606" s="117"/>
    </row>
    <row r="607" spans="1:15">
      <c r="A607" s="73" t="s">
        <v>210</v>
      </c>
      <c r="B607" s="73"/>
      <c r="C607" s="116" t="s">
        <v>211</v>
      </c>
      <c r="D607" s="117">
        <f>3.2</f>
        <v>3.2</v>
      </c>
      <c r="E607" s="118">
        <f>2</f>
        <v>2</v>
      </c>
      <c r="F607" s="72">
        <f>6.4</f>
        <v>6.4</v>
      </c>
      <c r="G607" s="31"/>
      <c r="H607" s="117" t="e">
        <f>#REF!*#REF!</f>
        <v>#REF!</v>
      </c>
      <c r="I607" s="117" t="e">
        <f>E607*#REF!</f>
        <v>#REF!</v>
      </c>
      <c r="J607" s="117" t="e">
        <f>(D607)*#REF!</f>
        <v>#REF!</v>
      </c>
      <c r="L607" s="117" t="e">
        <f>H607-(I607+J607)</f>
        <v>#REF!</v>
      </c>
      <c r="M607" s="72" t="e">
        <f t="shared" si="21"/>
        <v>#REF!</v>
      </c>
      <c r="O607" s="117"/>
    </row>
    <row r="608" spans="1:15">
      <c r="A608" s="73" t="s">
        <v>212</v>
      </c>
      <c r="B608" s="73"/>
      <c r="C608" s="116" t="s">
        <v>213</v>
      </c>
      <c r="D608" s="117">
        <f>4.5</f>
        <v>4.5</v>
      </c>
      <c r="E608" s="118">
        <f>2</f>
        <v>2</v>
      </c>
      <c r="F608" s="72">
        <f>9</f>
        <v>9</v>
      </c>
      <c r="G608" s="31"/>
      <c r="H608" s="117" t="e">
        <f>#REF!*#REF!</f>
        <v>#REF!</v>
      </c>
      <c r="I608" s="117" t="e">
        <f>E608*#REF!</f>
        <v>#REF!</v>
      </c>
      <c r="J608" s="117" t="e">
        <f>(D608)*#REF!</f>
        <v>#REF!</v>
      </c>
      <c r="L608" s="117" t="e">
        <f>H608-(I608+J608)</f>
        <v>#REF!</v>
      </c>
      <c r="M608" s="72" t="e">
        <f t="shared" si="21"/>
        <v>#REF!</v>
      </c>
      <c r="O608" s="117"/>
    </row>
    <row r="609" spans="1:15">
      <c r="A609" s="73" t="s">
        <v>214</v>
      </c>
      <c r="B609" s="73"/>
      <c r="C609" s="116" t="s">
        <v>215</v>
      </c>
      <c r="D609" s="117">
        <f>4.5</f>
        <v>4.5</v>
      </c>
      <c r="E609" s="118">
        <f>2</f>
        <v>2</v>
      </c>
      <c r="F609" s="72">
        <f>9</f>
        <v>9</v>
      </c>
      <c r="G609" s="31"/>
      <c r="H609" s="117" t="e">
        <f>#REF!*#REF!</f>
        <v>#REF!</v>
      </c>
      <c r="I609" s="117" t="e">
        <f>E609*#REF!</f>
        <v>#REF!</v>
      </c>
      <c r="J609" s="117"/>
      <c r="L609" s="117" t="e">
        <f>H609-(I609+J609)</f>
        <v>#REF!</v>
      </c>
      <c r="M609" s="72" t="e">
        <f t="shared" si="21"/>
        <v>#REF!</v>
      </c>
      <c r="O609" s="117"/>
    </row>
    <row r="610" spans="1:15">
      <c r="A610" s="73" t="s">
        <v>216</v>
      </c>
      <c r="B610" s="73"/>
      <c r="C610" s="28" t="s">
        <v>217</v>
      </c>
      <c r="D610" s="123">
        <f>2.775</f>
        <v>2.7749999999999999</v>
      </c>
      <c r="E610" s="73">
        <f>2</f>
        <v>2</v>
      </c>
      <c r="F610" s="72">
        <f>5.55</f>
        <v>5.55</v>
      </c>
      <c r="G610" s="31"/>
      <c r="H610" s="31" t="e">
        <f>#REF!*#REF!</f>
        <v>#REF!</v>
      </c>
      <c r="J610" s="31" t="e">
        <f>(E610+E610)*#REF!</f>
        <v>#REF!</v>
      </c>
      <c r="K610" s="114" t="e">
        <f>H610-(I610+J610)</f>
        <v>#REF!</v>
      </c>
      <c r="L610" s="72"/>
      <c r="M610" s="72" t="e">
        <f t="shared" si="21"/>
        <v>#REF!</v>
      </c>
      <c r="O610" s="72"/>
    </row>
    <row r="611" spans="1:15">
      <c r="A611" s="73" t="s">
        <v>218</v>
      </c>
      <c r="B611" s="73"/>
      <c r="C611" s="28" t="s">
        <v>219</v>
      </c>
      <c r="D611" s="31">
        <f>3.2</f>
        <v>3.2</v>
      </c>
      <c r="E611" s="73">
        <f>2</f>
        <v>2</v>
      </c>
      <c r="F611" s="72">
        <f>6</f>
        <v>6</v>
      </c>
      <c r="G611" s="31"/>
      <c r="H611" s="31" t="e">
        <f>#REF!*#REF!</f>
        <v>#REF!</v>
      </c>
      <c r="I611" s="31" t="e">
        <f>(E611)*#REF!</f>
        <v>#REF!</v>
      </c>
      <c r="J611" s="31" t="e">
        <f>(D611)*#REF!</f>
        <v>#REF!</v>
      </c>
      <c r="K611" s="114" t="e">
        <f>H611-(I611+J611)</f>
        <v>#REF!</v>
      </c>
      <c r="L611" s="72"/>
      <c r="M611" s="72" t="e">
        <f t="shared" si="21"/>
        <v>#REF!</v>
      </c>
      <c r="O611" s="72"/>
    </row>
    <row r="612" spans="1:15">
      <c r="A612" s="73" t="s">
        <v>220</v>
      </c>
      <c r="B612" s="73"/>
      <c r="C612" s="116" t="s">
        <v>180</v>
      </c>
      <c r="D612" s="117">
        <f>1.7</f>
        <v>1.7</v>
      </c>
      <c r="E612" s="118">
        <f>1.2</f>
        <v>1.2</v>
      </c>
      <c r="F612" s="72">
        <f>2</f>
        <v>2</v>
      </c>
      <c r="G612" s="31"/>
      <c r="H612" s="117" t="e">
        <f>#REF!*#REF!</f>
        <v>#REF!</v>
      </c>
      <c r="I612" s="117" t="e">
        <f>E612*#REF!</f>
        <v>#REF!</v>
      </c>
      <c r="J612" s="117" t="e">
        <f>(D612)*#REF!</f>
        <v>#REF!</v>
      </c>
      <c r="L612" s="117" t="e">
        <f>H612-(I612+J612)</f>
        <v>#REF!</v>
      </c>
      <c r="M612" s="72" t="e">
        <f t="shared" si="21"/>
        <v>#REF!</v>
      </c>
      <c r="O612" s="117"/>
    </row>
    <row r="613" spans="1:15">
      <c r="A613" s="73" t="s">
        <v>221</v>
      </c>
      <c r="B613" s="73"/>
      <c r="C613" s="116" t="s">
        <v>132</v>
      </c>
      <c r="D613" s="117">
        <f>1.45</f>
        <v>1.45</v>
      </c>
      <c r="E613" s="118">
        <f>0.9</f>
        <v>0.9</v>
      </c>
      <c r="F613" s="72">
        <f>1.3</f>
        <v>1.3</v>
      </c>
      <c r="G613" s="31"/>
      <c r="H613" s="117" t="e">
        <f>#REF!*#REF!</f>
        <v>#REF!</v>
      </c>
      <c r="I613" s="29"/>
      <c r="J613" s="117"/>
      <c r="L613" s="117" t="e">
        <f>H613-(I613+J613)</f>
        <v>#REF!</v>
      </c>
      <c r="M613" s="72" t="e">
        <f t="shared" si="21"/>
        <v>#REF!</v>
      </c>
      <c r="O613" s="117"/>
    </row>
    <row r="614" spans="1:15">
      <c r="A614" s="73" t="s">
        <v>222</v>
      </c>
      <c r="B614" s="73"/>
      <c r="C614" s="28" t="s">
        <v>126</v>
      </c>
      <c r="D614" s="31">
        <f>F614/E614</f>
        <v>8.4057971014492754</v>
      </c>
      <c r="E614" s="124">
        <f>1.725</f>
        <v>1.7250000000000001</v>
      </c>
      <c r="F614" s="72">
        <f>14.5</f>
        <v>14.5</v>
      </c>
      <c r="G614" s="31"/>
      <c r="H614" s="31" t="e">
        <f>#REF!*#REF!</f>
        <v>#REF!</v>
      </c>
      <c r="J614" s="31" t="e">
        <f>(D614+E614)*#REF!</f>
        <v>#REF!</v>
      </c>
      <c r="K614" s="114" t="e">
        <f>H614-(I614+J614)</f>
        <v>#REF!</v>
      </c>
      <c r="L614" s="72"/>
      <c r="M614" s="72" t="e">
        <f t="shared" si="21"/>
        <v>#REF!</v>
      </c>
      <c r="O614" s="72"/>
    </row>
    <row r="615" spans="1:15">
      <c r="A615" s="73" t="s">
        <v>223</v>
      </c>
      <c r="B615" s="73"/>
      <c r="C615" s="28" t="s">
        <v>118</v>
      </c>
      <c r="D615" s="31">
        <f>2</f>
        <v>2</v>
      </c>
      <c r="E615" s="73">
        <f>1.55</f>
        <v>1.55</v>
      </c>
      <c r="F615" s="72">
        <f>3.45</f>
        <v>3.45</v>
      </c>
      <c r="G615" s="31"/>
      <c r="H615" s="31" t="e">
        <f>#REF!*#REF!</f>
        <v>#REF!</v>
      </c>
      <c r="I615" s="29" t="e">
        <f>E615*#REF!</f>
        <v>#REF!</v>
      </c>
      <c r="J615" s="31" t="e">
        <f>D615*#REF!</f>
        <v>#REF!</v>
      </c>
      <c r="K615" s="114" t="e">
        <f>H615-(I615+J615+L615)</f>
        <v>#REF!</v>
      </c>
      <c r="L615" s="117" t="e">
        <f>(D615+E615)*#REF!</f>
        <v>#REF!</v>
      </c>
      <c r="M615" s="72" t="e">
        <f t="shared" si="21"/>
        <v>#REF!</v>
      </c>
      <c r="O615" s="117"/>
    </row>
    <row r="616" spans="1:15">
      <c r="A616" s="73"/>
      <c r="B616" s="73"/>
      <c r="C616" s="28"/>
      <c r="D616" s="31"/>
      <c r="E616" s="73"/>
      <c r="F616" s="72"/>
      <c r="G616" s="31"/>
      <c r="I616" s="29"/>
      <c r="J616" s="31"/>
      <c r="K616" s="114"/>
      <c r="L616" s="117"/>
      <c r="M616" s="72"/>
      <c r="O616" s="117"/>
    </row>
    <row r="617" spans="1:15">
      <c r="A617" s="73"/>
      <c r="B617" s="73"/>
      <c r="C617" s="28"/>
      <c r="D617" s="31"/>
      <c r="E617" s="73"/>
      <c r="F617" s="72"/>
      <c r="G617" s="31"/>
      <c r="I617" s="29"/>
      <c r="J617" s="31"/>
      <c r="K617" s="114"/>
      <c r="L617" s="117"/>
      <c r="M617" s="72"/>
      <c r="O617" s="117"/>
    </row>
    <row r="618" spans="1:15">
      <c r="A618" s="73"/>
      <c r="B618" s="73"/>
      <c r="C618" s="28"/>
      <c r="D618" s="31"/>
      <c r="E618" s="73"/>
      <c r="F618" s="72"/>
      <c r="G618" s="31"/>
      <c r="I618" s="29"/>
      <c r="J618" s="31"/>
      <c r="K618" s="114"/>
      <c r="L618" s="117"/>
      <c r="M618" s="72"/>
      <c r="O618" s="117"/>
    </row>
    <row r="619" spans="1:15">
      <c r="A619" s="73"/>
      <c r="B619" s="73"/>
      <c r="C619" s="28"/>
      <c r="D619" s="31"/>
      <c r="E619" s="73"/>
      <c r="F619" s="72"/>
      <c r="G619" s="31"/>
      <c r="I619" s="29"/>
      <c r="J619" s="31"/>
      <c r="K619" s="114"/>
      <c r="L619" s="117"/>
      <c r="M619" s="72"/>
      <c r="O619" s="117"/>
    </row>
    <row r="620" spans="1:15">
      <c r="A620" s="73"/>
      <c r="B620" s="73"/>
      <c r="C620" s="28"/>
      <c r="D620" s="31"/>
      <c r="E620" s="73"/>
      <c r="F620" s="72"/>
      <c r="G620" s="31"/>
      <c r="I620" s="29"/>
      <c r="J620" s="31"/>
      <c r="K620" s="114"/>
      <c r="L620" s="117"/>
      <c r="M620" s="72"/>
      <c r="O620" s="117"/>
    </row>
    <row r="621" spans="1:15">
      <c r="A621" s="73"/>
      <c r="B621" s="73"/>
      <c r="C621" s="28"/>
      <c r="D621" s="31"/>
      <c r="E621" s="73"/>
      <c r="F621" s="72"/>
      <c r="G621" s="31"/>
      <c r="I621" s="29"/>
      <c r="J621" s="31"/>
      <c r="K621" s="114"/>
      <c r="L621" s="117"/>
      <c r="M621" s="72"/>
      <c r="O621" s="117"/>
    </row>
    <row r="622" spans="1:15">
      <c r="A622" s="73"/>
      <c r="B622" s="73"/>
      <c r="C622" s="28"/>
      <c r="D622" s="31"/>
      <c r="E622" s="73"/>
      <c r="F622" s="72"/>
      <c r="I622" s="29"/>
      <c r="J622" s="31"/>
      <c r="K622" s="114"/>
      <c r="L622" s="117"/>
      <c r="M622" s="72"/>
      <c r="O622" s="117"/>
    </row>
    <row r="623" spans="1:15">
      <c r="A623" s="73"/>
      <c r="B623" s="73"/>
      <c r="C623" s="28"/>
      <c r="D623" s="31"/>
      <c r="E623" s="73"/>
      <c r="F623" s="72"/>
      <c r="G623" s="31"/>
      <c r="I623" s="29"/>
      <c r="J623" s="31"/>
      <c r="K623" s="114"/>
      <c r="L623" s="117"/>
      <c r="M623" s="72"/>
      <c r="O623" s="117"/>
    </row>
    <row r="624" spans="1:15">
      <c r="A624" s="29"/>
      <c r="B624" s="29"/>
      <c r="C624" s="107" t="s">
        <v>224</v>
      </c>
      <c r="D624" s="117"/>
      <c r="E624" s="118"/>
      <c r="F624" s="72"/>
      <c r="G624" s="31"/>
      <c r="H624" s="117"/>
      <c r="I624" s="29"/>
      <c r="J624" s="117"/>
      <c r="L624" s="117"/>
      <c r="M624" s="72">
        <f t="shared" ref="M624:M654" si="22">H624-(I624+J624+K624+L624)</f>
        <v>0</v>
      </c>
      <c r="O624" s="117"/>
    </row>
    <row r="625" spans="1:15">
      <c r="A625" s="28" t="s">
        <v>225</v>
      </c>
      <c r="C625" s="28" t="s">
        <v>226</v>
      </c>
      <c r="D625" s="31">
        <f>6.2</f>
        <v>6.2</v>
      </c>
      <c r="E625" s="73">
        <f>4.5</f>
        <v>4.5</v>
      </c>
      <c r="F625" s="72">
        <f>28.4</f>
        <v>28.4</v>
      </c>
      <c r="G625" s="31"/>
      <c r="H625" s="31" t="e">
        <f>#REF!*#REF!</f>
        <v>#REF!</v>
      </c>
      <c r="I625" s="31" t="e">
        <f>(D625+E625)*#REF!</f>
        <v>#REF!</v>
      </c>
      <c r="J625" s="31" t="e">
        <f>(D625)*#REF!</f>
        <v>#REF!</v>
      </c>
      <c r="K625" s="114" t="e">
        <f>H625-(I625+J625)</f>
        <v>#REF!</v>
      </c>
      <c r="L625" s="72"/>
      <c r="M625" s="72" t="e">
        <f t="shared" si="22"/>
        <v>#REF!</v>
      </c>
      <c r="O625" s="72"/>
    </row>
    <row r="626" spans="1:15">
      <c r="A626" s="28" t="s">
        <v>227</v>
      </c>
      <c r="C626" s="28" t="s">
        <v>228</v>
      </c>
      <c r="D626" s="73">
        <f>4.5</f>
        <v>4.5</v>
      </c>
      <c r="E626" s="73">
        <f>2.7</f>
        <v>2.7</v>
      </c>
      <c r="F626" s="72">
        <f>12.15</f>
        <v>12.15</v>
      </c>
      <c r="G626" s="31"/>
      <c r="H626" s="31" t="e">
        <f>#REF!*#REF!</f>
        <v>#REF!</v>
      </c>
      <c r="I626" s="31" t="e">
        <f>(D626)*#REF!</f>
        <v>#REF!</v>
      </c>
      <c r="J626" s="31" t="e">
        <f>(E626+E626)*#REF!</f>
        <v>#REF!</v>
      </c>
      <c r="K626" s="114" t="e">
        <f>H626-(I626+J626)</f>
        <v>#REF!</v>
      </c>
      <c r="L626" s="72"/>
      <c r="M626" s="72" t="e">
        <f t="shared" si="22"/>
        <v>#REF!</v>
      </c>
      <c r="O626" s="72"/>
    </row>
    <row r="627" spans="1:15">
      <c r="A627" s="28" t="s">
        <v>229</v>
      </c>
      <c r="C627" s="28" t="s">
        <v>230</v>
      </c>
      <c r="D627" s="31">
        <f>4</f>
        <v>4</v>
      </c>
      <c r="E627" s="73">
        <f>1.4</f>
        <v>1.4</v>
      </c>
      <c r="F627" s="72">
        <f>5.55</f>
        <v>5.55</v>
      </c>
      <c r="G627" s="31"/>
      <c r="H627" s="31" t="e">
        <f>#REF!*#REF!</f>
        <v>#REF!</v>
      </c>
      <c r="J627" s="31" t="e">
        <f>(E627)*#REF!</f>
        <v>#REF!</v>
      </c>
      <c r="K627" s="114" t="e">
        <f>H627-(I627+J627)</f>
        <v>#REF!</v>
      </c>
      <c r="M627" s="72" t="e">
        <f t="shared" si="22"/>
        <v>#REF!</v>
      </c>
    </row>
    <row r="628" spans="1:15">
      <c r="A628" s="28" t="s">
        <v>231</v>
      </c>
      <c r="C628" s="116" t="s">
        <v>180</v>
      </c>
      <c r="D628" s="117">
        <f>1.8</f>
        <v>1.8</v>
      </c>
      <c r="E628" s="118">
        <f>1.4</f>
        <v>1.4</v>
      </c>
      <c r="F628" s="72">
        <f>2.5</f>
        <v>2.5</v>
      </c>
      <c r="G628" s="31"/>
      <c r="H628" s="117" t="e">
        <f>#REF!*#REF!</f>
        <v>#REF!</v>
      </c>
      <c r="I628" s="29"/>
      <c r="J628" s="117" t="e">
        <f>(D628)*#REF!</f>
        <v>#REF!</v>
      </c>
      <c r="L628" s="117" t="e">
        <f>H628-(I628+J628)</f>
        <v>#REF!</v>
      </c>
      <c r="M628" s="72" t="e">
        <f t="shared" si="22"/>
        <v>#REF!</v>
      </c>
      <c r="O628" s="117"/>
    </row>
    <row r="629" spans="1:15">
      <c r="A629" s="28" t="s">
        <v>232</v>
      </c>
      <c r="C629" s="116" t="s">
        <v>132</v>
      </c>
      <c r="D629" s="117">
        <f>1.65</f>
        <v>1.65</v>
      </c>
      <c r="E629" s="118">
        <f>1.4</f>
        <v>1.4</v>
      </c>
      <c r="F629" s="72">
        <f>2.3</f>
        <v>2.2999999999999998</v>
      </c>
      <c r="G629" s="31"/>
      <c r="H629" s="117" t="e">
        <f>#REF!*#REF!</f>
        <v>#REF!</v>
      </c>
      <c r="I629" s="29"/>
      <c r="J629" s="117" t="e">
        <f>(D629+D629)*#REF!</f>
        <v>#REF!</v>
      </c>
      <c r="L629" s="117" t="e">
        <f>H629-(I629+J629)</f>
        <v>#REF!</v>
      </c>
      <c r="M629" s="72" t="e">
        <f t="shared" si="22"/>
        <v>#REF!</v>
      </c>
      <c r="O629" s="117"/>
    </row>
    <row r="630" spans="1:15">
      <c r="A630" s="28" t="s">
        <v>233</v>
      </c>
      <c r="C630" s="116" t="s">
        <v>234</v>
      </c>
      <c r="D630" s="117">
        <f>6.2</f>
        <v>6.2</v>
      </c>
      <c r="E630" s="118">
        <f>4.5</f>
        <v>4.5</v>
      </c>
      <c r="F630" s="72">
        <f>23.95</f>
        <v>23.95</v>
      </c>
      <c r="G630" s="31"/>
      <c r="H630" s="117" t="e">
        <f>#REF!*#REF!</f>
        <v>#REF!</v>
      </c>
      <c r="I630" s="117" t="e">
        <f>E630*#REF!</f>
        <v>#REF!</v>
      </c>
      <c r="J630" s="117" t="e">
        <f>(D630+D630)*#REF!</f>
        <v>#REF!</v>
      </c>
      <c r="L630" s="117" t="e">
        <f>H630-(I630+J630)</f>
        <v>#REF!</v>
      </c>
      <c r="M630" s="72" t="e">
        <f t="shared" si="22"/>
        <v>#REF!</v>
      </c>
      <c r="O630" s="117"/>
    </row>
    <row r="631" spans="1:15">
      <c r="A631" s="28" t="s">
        <v>235</v>
      </c>
      <c r="C631" s="116" t="s">
        <v>236</v>
      </c>
      <c r="D631" s="117">
        <f>2.2</f>
        <v>2.2000000000000002</v>
      </c>
      <c r="E631" s="118">
        <f>1.9</f>
        <v>1.9</v>
      </c>
      <c r="F631" s="72">
        <f>4.2</f>
        <v>4.2</v>
      </c>
      <c r="G631" s="31"/>
      <c r="H631" s="117" t="e">
        <f>#REF!*#REF!</f>
        <v>#REF!</v>
      </c>
      <c r="I631" s="29"/>
      <c r="J631" s="117" t="e">
        <f>(D631+E631)*#REF!</f>
        <v>#REF!</v>
      </c>
      <c r="L631" s="117" t="e">
        <f>H631-(I631+J631)</f>
        <v>#REF!</v>
      </c>
      <c r="M631" s="72" t="e">
        <f t="shared" si="22"/>
        <v>#REF!</v>
      </c>
      <c r="O631" s="117"/>
    </row>
    <row r="632" spans="1:15">
      <c r="A632" s="28" t="s">
        <v>237</v>
      </c>
      <c r="C632" s="28" t="s">
        <v>238</v>
      </c>
      <c r="D632" s="31">
        <f>6.2</f>
        <v>6.2</v>
      </c>
      <c r="E632" s="124">
        <f>2.875</f>
        <v>2.875</v>
      </c>
      <c r="F632" s="72">
        <f>13.2</f>
        <v>13.2</v>
      </c>
      <c r="G632" s="31"/>
      <c r="H632" s="31" t="e">
        <f>#REF!*#REF!</f>
        <v>#REF!</v>
      </c>
      <c r="I632" s="31" t="e">
        <f>(D632+E632)*#REF!</f>
        <v>#REF!</v>
      </c>
      <c r="J632" s="31" t="e">
        <f>(D632+E632)*#REF!</f>
        <v>#REF!</v>
      </c>
      <c r="K632" s="114"/>
      <c r="M632" s="72" t="e">
        <f t="shared" si="22"/>
        <v>#REF!</v>
      </c>
    </row>
    <row r="633" spans="1:15">
      <c r="A633" s="28" t="s">
        <v>239</v>
      </c>
      <c r="C633" s="116" t="s">
        <v>180</v>
      </c>
      <c r="D633" s="117">
        <f>1.7</f>
        <v>1.7</v>
      </c>
      <c r="E633" s="118">
        <f>1.4</f>
        <v>1.4</v>
      </c>
      <c r="F633" s="72">
        <f>2.4</f>
        <v>2.4</v>
      </c>
      <c r="G633" s="31"/>
      <c r="H633" s="117" t="e">
        <f>#REF!*#REF!</f>
        <v>#REF!</v>
      </c>
      <c r="I633" s="29"/>
      <c r="J633" s="117" t="e">
        <f>(D633)*#REF!</f>
        <v>#REF!</v>
      </c>
      <c r="L633" s="117" t="e">
        <f>H633-(I633+J633)</f>
        <v>#REF!</v>
      </c>
      <c r="M633" s="72" t="e">
        <f t="shared" si="22"/>
        <v>#REF!</v>
      </c>
      <c r="O633" s="117"/>
    </row>
    <row r="634" spans="1:15">
      <c r="A634" s="28" t="s">
        <v>240</v>
      </c>
      <c r="C634" s="116" t="s">
        <v>132</v>
      </c>
      <c r="D634" s="117">
        <f>1.45</f>
        <v>1.45</v>
      </c>
      <c r="E634" s="118">
        <f>1.4</f>
        <v>1.4</v>
      </c>
      <c r="F634" s="72">
        <f>2</f>
        <v>2</v>
      </c>
      <c r="G634" s="31"/>
      <c r="H634" s="117" t="e">
        <f>#REF!*#REF!</f>
        <v>#REF!</v>
      </c>
      <c r="I634" s="29"/>
      <c r="J634" s="117" t="e">
        <f>(D634+E634)*#REF!</f>
        <v>#REF!</v>
      </c>
      <c r="L634" s="117" t="e">
        <f>H634-(I634+J634)</f>
        <v>#REF!</v>
      </c>
      <c r="M634" s="72" t="e">
        <f t="shared" si="22"/>
        <v>#REF!</v>
      </c>
      <c r="O634" s="117"/>
    </row>
    <row r="635" spans="1:15">
      <c r="A635" s="28" t="s">
        <v>241</v>
      </c>
      <c r="C635" s="28" t="s">
        <v>165</v>
      </c>
      <c r="D635" s="123">
        <f>2.775</f>
        <v>2.7749999999999999</v>
      </c>
      <c r="E635" s="73">
        <f>0.85</f>
        <v>0.85</v>
      </c>
      <c r="F635" s="72">
        <f>2.35</f>
        <v>2.35</v>
      </c>
      <c r="G635" s="31"/>
      <c r="H635" s="31" t="e">
        <f>#REF!*#REF!</f>
        <v>#REF!</v>
      </c>
      <c r="J635" s="31" t="e">
        <f>2*(D635+E635)*#REF!</f>
        <v>#REF!</v>
      </c>
      <c r="K635" s="114" t="e">
        <f>H635-(I635+J635)</f>
        <v>#REF!</v>
      </c>
      <c r="L635" s="115"/>
      <c r="M635" s="72" t="e">
        <f t="shared" si="22"/>
        <v>#REF!</v>
      </c>
      <c r="O635" s="72"/>
    </row>
    <row r="636" spans="1:15">
      <c r="A636" s="28" t="s">
        <v>242</v>
      </c>
      <c r="C636" s="28" t="s">
        <v>243</v>
      </c>
      <c r="D636" s="31">
        <f>3.05</f>
        <v>3.05</v>
      </c>
      <c r="E636" s="73">
        <f>3</f>
        <v>3</v>
      </c>
      <c r="F636" s="72">
        <f>9.1</f>
        <v>9.1</v>
      </c>
      <c r="G636" s="31"/>
      <c r="H636" s="31" t="e">
        <f>#REF!*#REF!</f>
        <v>#REF!</v>
      </c>
      <c r="J636" s="31" t="e">
        <f>(D636+E636)*#REF!</f>
        <v>#REF!</v>
      </c>
      <c r="K636" s="114" t="e">
        <f>H636-(I636+J636)</f>
        <v>#REF!</v>
      </c>
      <c r="L636" s="115"/>
      <c r="M636" s="72" t="e">
        <f t="shared" si="22"/>
        <v>#REF!</v>
      </c>
    </row>
    <row r="637" spans="1:15">
      <c r="A637" s="29"/>
      <c r="B637" s="29"/>
      <c r="D637" s="29"/>
      <c r="E637" s="29"/>
      <c r="H637" s="29"/>
      <c r="I637" s="29"/>
      <c r="M637" s="72">
        <f t="shared" si="22"/>
        <v>0</v>
      </c>
    </row>
    <row r="638" spans="1:15">
      <c r="A638" s="29"/>
      <c r="B638" s="29"/>
      <c r="D638" s="29"/>
      <c r="E638" s="29"/>
      <c r="H638" s="29"/>
      <c r="I638" s="29"/>
      <c r="M638" s="72">
        <f t="shared" si="22"/>
        <v>0</v>
      </c>
    </row>
    <row r="639" spans="1:15">
      <c r="A639" s="29"/>
      <c r="B639" s="29"/>
      <c r="D639" s="29"/>
      <c r="E639" s="29"/>
      <c r="H639" s="29"/>
      <c r="I639" s="29"/>
      <c r="M639" s="72">
        <f t="shared" si="22"/>
        <v>0</v>
      </c>
    </row>
    <row r="640" spans="1:15">
      <c r="A640" s="29"/>
      <c r="B640" s="29"/>
      <c r="D640" s="29"/>
      <c r="E640" s="29"/>
      <c r="H640" s="29"/>
      <c r="I640" s="29"/>
      <c r="M640" s="72">
        <f t="shared" si="22"/>
        <v>0</v>
      </c>
    </row>
    <row r="641" spans="1:16">
      <c r="A641" s="29"/>
      <c r="B641" s="29"/>
      <c r="D641" s="29"/>
      <c r="E641" s="29"/>
      <c r="H641" s="29"/>
      <c r="I641" s="29"/>
      <c r="M641" s="72">
        <f t="shared" si="22"/>
        <v>0</v>
      </c>
    </row>
    <row r="642" spans="1:16">
      <c r="A642" s="29"/>
      <c r="B642" s="29"/>
      <c r="D642" s="29"/>
      <c r="H642" s="29"/>
      <c r="I642" s="29"/>
      <c r="M642" s="72">
        <f t="shared" si="22"/>
        <v>0</v>
      </c>
    </row>
    <row r="643" spans="1:16">
      <c r="A643" s="29"/>
      <c r="B643" s="29"/>
      <c r="D643" s="29"/>
      <c r="E643" s="29"/>
      <c r="H643" s="29"/>
      <c r="I643" s="29"/>
      <c r="M643" s="72">
        <f t="shared" si="22"/>
        <v>0</v>
      </c>
    </row>
    <row r="644" spans="1:16">
      <c r="A644" s="29"/>
      <c r="B644" s="29"/>
      <c r="C644" s="107" t="s">
        <v>244</v>
      </c>
      <c r="G644" s="31"/>
      <c r="I644" s="29"/>
      <c r="M644" s="72">
        <f t="shared" si="22"/>
        <v>0</v>
      </c>
    </row>
    <row r="645" spans="1:16">
      <c r="A645" s="29">
        <f>1</f>
        <v>1</v>
      </c>
      <c r="B645" s="29"/>
      <c r="C645" s="28" t="s">
        <v>245</v>
      </c>
      <c r="D645" s="31">
        <f>6</f>
        <v>6</v>
      </c>
      <c r="E645" s="73">
        <f>3.6</f>
        <v>3.6</v>
      </c>
      <c r="F645" s="72">
        <f>21.6</f>
        <v>21.6</v>
      </c>
      <c r="G645" s="31"/>
      <c r="H645" s="31" t="e">
        <f>#REF!*#REF!</f>
        <v>#REF!</v>
      </c>
      <c r="I645" s="31" t="e">
        <f>(E645+D645+E645+1.5)*#REF!</f>
        <v>#REF!</v>
      </c>
      <c r="J645" s="31" t="e">
        <f>H645-I645</f>
        <v>#REF!</v>
      </c>
      <c r="L645" s="115"/>
      <c r="M645" s="72" t="e">
        <f t="shared" si="22"/>
        <v>#REF!</v>
      </c>
      <c r="O645" s="117"/>
    </row>
    <row r="646" spans="1:16">
      <c r="A646" s="29">
        <f t="shared" ref="A646:A652" si="23">1+A645</f>
        <v>2</v>
      </c>
      <c r="B646" s="29"/>
      <c r="C646" s="28" t="s">
        <v>118</v>
      </c>
      <c r="D646" s="31">
        <f>4.2</f>
        <v>4.2</v>
      </c>
      <c r="E646" s="73">
        <f>1.8</f>
        <v>1.8</v>
      </c>
      <c r="F646" s="72">
        <f>7.6</f>
        <v>7.6</v>
      </c>
      <c r="G646" s="31"/>
      <c r="H646" s="31" t="e">
        <f>#REF!*#REF!</f>
        <v>#REF!</v>
      </c>
      <c r="I646" s="31" t="e">
        <f>E646*#REF!</f>
        <v>#REF!</v>
      </c>
      <c r="J646" s="31" t="e">
        <f>D646*#REF!</f>
        <v>#REF!</v>
      </c>
      <c r="K646" s="114" t="e">
        <f>H646-(I646+J646)</f>
        <v>#REF!</v>
      </c>
      <c r="L646" s="115"/>
      <c r="M646" s="72" t="e">
        <f t="shared" si="22"/>
        <v>#REF!</v>
      </c>
      <c r="O646" s="117"/>
    </row>
    <row r="647" spans="1:16">
      <c r="A647" s="29">
        <f t="shared" si="23"/>
        <v>3</v>
      </c>
      <c r="B647" s="29"/>
      <c r="C647" s="116" t="s">
        <v>246</v>
      </c>
      <c r="D647" s="117">
        <f>5.9</f>
        <v>5.9</v>
      </c>
      <c r="E647" s="118">
        <f>3</f>
        <v>3</v>
      </c>
      <c r="F647" s="72">
        <f>17.9</f>
        <v>17.899999999999999</v>
      </c>
      <c r="G647" s="31"/>
      <c r="H647" s="117" t="e">
        <f>#REF!*#REF!</f>
        <v>#REF!</v>
      </c>
      <c r="I647" s="117" t="e">
        <f>(D647+E647)*#REF!</f>
        <v>#REF!</v>
      </c>
      <c r="J647" s="117" t="e">
        <f>E647*#REF!</f>
        <v>#REF!</v>
      </c>
      <c r="L647" s="117" t="e">
        <f>H647-(I647+J647)</f>
        <v>#REF!</v>
      </c>
      <c r="M647" s="72" t="e">
        <f t="shared" si="22"/>
        <v>#REF!</v>
      </c>
      <c r="O647" s="117"/>
    </row>
    <row r="648" spans="1:16">
      <c r="A648" s="29">
        <f t="shared" si="23"/>
        <v>4</v>
      </c>
      <c r="B648" s="29"/>
      <c r="C648" s="116" t="s">
        <v>246</v>
      </c>
      <c r="D648" s="117">
        <f>4.2</f>
        <v>4.2</v>
      </c>
      <c r="E648" s="118">
        <f>4</f>
        <v>4</v>
      </c>
      <c r="F648" s="72">
        <f>16.3</f>
        <v>16.3</v>
      </c>
      <c r="G648" s="31"/>
      <c r="H648" s="117" t="e">
        <f>#REF!*#REF!</f>
        <v>#REF!</v>
      </c>
      <c r="I648" s="117" t="e">
        <f>(D648)*#REF!</f>
        <v>#REF!</v>
      </c>
      <c r="J648" s="117"/>
      <c r="L648" s="117" t="e">
        <f>H648-(I648+J648)</f>
        <v>#REF!</v>
      </c>
      <c r="M648" s="72" t="e">
        <f t="shared" si="22"/>
        <v>#REF!</v>
      </c>
      <c r="O648" s="117"/>
    </row>
    <row r="649" spans="1:16">
      <c r="A649" s="29">
        <f t="shared" si="23"/>
        <v>5</v>
      </c>
      <c r="B649" s="29"/>
      <c r="C649" s="28" t="s">
        <v>247</v>
      </c>
      <c r="D649" s="31">
        <f>4</f>
        <v>4</v>
      </c>
      <c r="E649" s="31">
        <f>3.65</f>
        <v>3.65</v>
      </c>
      <c r="F649" s="72">
        <f>14.6</f>
        <v>14.6</v>
      </c>
      <c r="G649" s="31"/>
      <c r="H649" s="31" t="e">
        <f>#REF!*#REF!</f>
        <v>#REF!</v>
      </c>
      <c r="I649" s="31" t="e">
        <f>(E649+E649)*#REF!</f>
        <v>#REF!</v>
      </c>
      <c r="J649" s="117"/>
      <c r="K649" s="114" t="e">
        <f>H649-(I649+J649)</f>
        <v>#REF!</v>
      </c>
      <c r="L649" s="115"/>
      <c r="M649" s="72" t="e">
        <f t="shared" si="22"/>
        <v>#REF!</v>
      </c>
      <c r="O649" s="117"/>
    </row>
    <row r="650" spans="1:16">
      <c r="A650" s="29">
        <f t="shared" si="23"/>
        <v>6</v>
      </c>
      <c r="B650" s="29"/>
      <c r="C650" s="28" t="s">
        <v>248</v>
      </c>
      <c r="D650" s="31">
        <f>4</f>
        <v>4</v>
      </c>
      <c r="E650" s="124">
        <f>2.475</f>
        <v>2.4750000000000001</v>
      </c>
      <c r="F650" s="72">
        <f>9.9</f>
        <v>9.9</v>
      </c>
      <c r="G650" s="31"/>
      <c r="H650" s="31" t="e">
        <f>#REF!*#REF!</f>
        <v>#REF!</v>
      </c>
      <c r="I650" s="31" t="e">
        <f>(E650+E650)*#REF!</f>
        <v>#REF!</v>
      </c>
      <c r="J650" s="109"/>
      <c r="K650" s="114" t="e">
        <f>H650-(I650+J650)</f>
        <v>#REF!</v>
      </c>
      <c r="L650" s="115"/>
      <c r="M650" s="72" t="e">
        <f t="shared" si="22"/>
        <v>#REF!</v>
      </c>
      <c r="O650" s="72"/>
    </row>
    <row r="651" spans="1:16">
      <c r="A651" s="29">
        <f t="shared" si="23"/>
        <v>7</v>
      </c>
      <c r="B651" s="29"/>
      <c r="C651" s="116" t="s">
        <v>249</v>
      </c>
      <c r="D651" s="117">
        <f>6.1</f>
        <v>6.1</v>
      </c>
      <c r="E651" s="118">
        <f>4</f>
        <v>4</v>
      </c>
      <c r="F651" s="72">
        <f>24</f>
        <v>24</v>
      </c>
      <c r="G651" s="31"/>
      <c r="H651" s="117" t="e">
        <f>#REF!*#REF!</f>
        <v>#REF!</v>
      </c>
      <c r="I651" s="117" t="e">
        <f>(D651+E651)*#REF!</f>
        <v>#REF!</v>
      </c>
      <c r="J651" s="117" t="e">
        <f>E651*#REF!</f>
        <v>#REF!</v>
      </c>
      <c r="L651" s="117" t="e">
        <f>H651-(I651+J651)</f>
        <v>#REF!</v>
      </c>
      <c r="M651" s="72" t="e">
        <f t="shared" si="22"/>
        <v>#REF!</v>
      </c>
      <c r="O651" s="117"/>
    </row>
    <row r="652" spans="1:16">
      <c r="A652" s="29">
        <f t="shared" si="23"/>
        <v>8</v>
      </c>
      <c r="B652" s="29"/>
      <c r="C652" s="116" t="s">
        <v>250</v>
      </c>
      <c r="D652" s="117">
        <f>6.1</f>
        <v>6.1</v>
      </c>
      <c r="E652" s="122">
        <f>3.075</f>
        <v>3.0750000000000002</v>
      </c>
      <c r="F652" s="72">
        <f>18.45</f>
        <v>18.45</v>
      </c>
      <c r="G652" s="31"/>
      <c r="H652" s="117" t="e">
        <f>#REF!*#REF!</f>
        <v>#REF!</v>
      </c>
      <c r="I652" s="117" t="e">
        <f>(D652+E652)*#REF!</f>
        <v>#REF!</v>
      </c>
      <c r="J652" s="117" t="e">
        <f>E652*#REF!</f>
        <v>#REF!</v>
      </c>
      <c r="L652" s="117" t="e">
        <f>H652-(I652+J652)</f>
        <v>#REF!</v>
      </c>
      <c r="M652" s="72" t="e">
        <f t="shared" si="22"/>
        <v>#REF!</v>
      </c>
      <c r="O652" s="117"/>
    </row>
    <row r="653" spans="1:16">
      <c r="G653" s="31"/>
      <c r="I653" s="29"/>
      <c r="M653" s="72">
        <f t="shared" si="22"/>
        <v>0</v>
      </c>
    </row>
    <row r="654" spans="1:16">
      <c r="A654" s="31">
        <f>2*(D654+E654)+(D655*2+E655)+2*(D656+E656)</f>
        <v>286.7</v>
      </c>
      <c r="B654" s="31"/>
      <c r="C654" s="28" t="e">
        <f>#REF!</f>
        <v>#REF!</v>
      </c>
      <c r="D654" s="125">
        <f>65.9</f>
        <v>65.900000000000006</v>
      </c>
      <c r="E654" s="72">
        <f>15.55</f>
        <v>15.55</v>
      </c>
      <c r="F654" s="72">
        <f>SUM(F537:F652)</f>
        <v>1259.3499999999997</v>
      </c>
      <c r="G654" s="72"/>
      <c r="H654" s="72" t="e">
        <f>SUM(H536:H652)</f>
        <v>#REF!</v>
      </c>
      <c r="I654" s="126" t="e">
        <f>SUM(I1:I652)</f>
        <v>#REF!</v>
      </c>
      <c r="J654" s="127" t="e">
        <f>SUM(J536:J652)</f>
        <v>#REF!</v>
      </c>
      <c r="K654" s="128" t="e">
        <f>SUM(K536:K652)</f>
        <v>#REF!</v>
      </c>
      <c r="L654" s="106" t="e">
        <f>SUM(L536:L652)</f>
        <v>#REF!</v>
      </c>
      <c r="M654" s="72" t="e">
        <f t="shared" si="22"/>
        <v>#REF!</v>
      </c>
      <c r="O654" s="117"/>
      <c r="P654" s="117"/>
    </row>
    <row r="655" spans="1:16">
      <c r="A655" s="31"/>
      <c r="B655" s="31"/>
      <c r="C655" s="129"/>
      <c r="D655" s="125">
        <f>25</f>
        <v>25</v>
      </c>
      <c r="E655" s="73">
        <f>12</f>
        <v>12</v>
      </c>
      <c r="F655" s="31">
        <f>D654*E654+D655*E655+D656*E656-(6*2+10*7)</f>
        <v>1474.9450000000002</v>
      </c>
      <c r="G655" s="81"/>
      <c r="H655" s="81" t="e">
        <f>I654+1.5*(J654+K654+L654)/2</f>
        <v>#REF!</v>
      </c>
      <c r="I655" s="81"/>
      <c r="J655" s="108"/>
      <c r="K655" s="109">
        <f>18*(7+7)+8*(4.5+4.5)+(9+9)*70+10*1</f>
        <v>1594</v>
      </c>
      <c r="L655" s="117"/>
      <c r="M655" s="72"/>
      <c r="O655" s="117"/>
      <c r="P655" s="117"/>
    </row>
    <row r="656" spans="1:16">
      <c r="A656" s="31"/>
      <c r="B656" s="31"/>
      <c r="D656" s="125">
        <f>18</f>
        <v>18</v>
      </c>
      <c r="E656" s="73">
        <f>12.9</f>
        <v>12.9</v>
      </c>
      <c r="F656" s="81">
        <f>SUM(F566+F568+F569+F570+F575+F577+F578+F579+F580+F583+F587+F588+F589+F590+F591+F592+F595+F598+F599+F605+F610+F611+F625+F626+F627+F632+F636)</f>
        <v>564.6</v>
      </c>
      <c r="G656" s="81"/>
      <c r="H656" s="81"/>
      <c r="I656" s="81"/>
      <c r="J656" s="81"/>
      <c r="K656" s="109">
        <f>(D656*E656-8.65*6.4)*1.15</f>
        <v>203.36599999999999</v>
      </c>
      <c r="L656" s="115"/>
      <c r="M656" s="72"/>
      <c r="O656" s="117"/>
      <c r="P656" s="117"/>
    </row>
    <row r="657" spans="1:16">
      <c r="A657" s="31"/>
      <c r="B657" s="31"/>
      <c r="C657" s="129"/>
      <c r="E657" s="130"/>
      <c r="F657" s="131">
        <f>(F544+F545+F567+F568+F569+F571+F572+F576+F581+F582+F584+F585+F586+F596+F597+F606+F607+F608+F609+F612+F613+F628+F629+F630+F631+F633+F634)+1.8*(F647+F648+F651+F652)</f>
        <v>323.52000000000004</v>
      </c>
      <c r="G657" s="131"/>
      <c r="H657" s="132" t="e">
        <f>(H544+H545+H567+H568+H569+H571+H572+H576+H581+H582+H584+H585+H586+H596+H597+H606+H607+H608+H609+H612+H613+H628+H629+H630+H631+H633+H634)+1.8*(H647+H648+H651+H652)</f>
        <v>#REF!</v>
      </c>
      <c r="I657" s="81"/>
      <c r="J657" s="81"/>
      <c r="K657" s="109"/>
      <c r="L657" s="115"/>
      <c r="M657" s="72"/>
      <c r="O657" s="117"/>
      <c r="P657" s="117"/>
    </row>
    <row r="658" spans="1:16">
      <c r="A658" s="31"/>
      <c r="B658" s="31"/>
      <c r="C658" s="129"/>
      <c r="G658" s="31"/>
      <c r="H658" s="81"/>
      <c r="I658" s="81"/>
      <c r="J658" s="81"/>
      <c r="K658" s="109"/>
      <c r="L658" s="115"/>
      <c r="M658" s="72">
        <f>H658-(I658+J658+K658+L658)</f>
        <v>0</v>
      </c>
      <c r="O658" s="117"/>
      <c r="P658" s="117"/>
    </row>
    <row r="659" spans="1:16">
      <c r="A659" s="31"/>
      <c r="B659" s="31"/>
      <c r="C659" s="129"/>
      <c r="F659" s="72"/>
      <c r="H659" s="81"/>
      <c r="I659" s="81"/>
      <c r="J659" s="81"/>
      <c r="K659" s="109"/>
      <c r="L659" s="115"/>
      <c r="M659" s="72">
        <f>H659-(I659+J659+K659+L659)</f>
        <v>0</v>
      </c>
      <c r="O659" s="117"/>
      <c r="P659" s="117"/>
    </row>
    <row r="660" spans="1:16">
      <c r="A660" s="31"/>
      <c r="B660" s="31"/>
      <c r="C660" s="129"/>
      <c r="G660" s="31"/>
      <c r="H660" s="81"/>
      <c r="I660" s="81"/>
      <c r="J660" s="81"/>
      <c r="K660" s="109"/>
      <c r="L660" s="115"/>
      <c r="M660" s="72">
        <f>H660-(I660+J660+K660+L660)</f>
        <v>0</v>
      </c>
      <c r="O660" s="117"/>
      <c r="P660" s="117"/>
    </row>
    <row r="661" spans="1:16">
      <c r="C661" s="28" t="s">
        <v>251</v>
      </c>
      <c r="G661" s="31"/>
      <c r="H661" s="29"/>
      <c r="I661" s="81">
        <f>(3+3.8)/2</f>
        <v>3.4</v>
      </c>
      <c r="L661" s="72"/>
      <c r="M661" s="72"/>
      <c r="O661" s="72"/>
    </row>
    <row r="662" spans="1:16">
      <c r="C662" s="107" t="s">
        <v>252</v>
      </c>
      <c r="G662" s="31"/>
      <c r="H662" s="29"/>
      <c r="I662" s="133">
        <f>2.8</f>
        <v>2.8</v>
      </c>
      <c r="L662" s="72"/>
      <c r="M662" s="72"/>
      <c r="O662" s="72"/>
    </row>
    <row r="663" spans="1:16">
      <c r="A663" s="28" t="s">
        <v>117</v>
      </c>
      <c r="C663" s="28" t="s">
        <v>120</v>
      </c>
      <c r="D663" s="31">
        <f>10.5</f>
        <v>10.5</v>
      </c>
      <c r="E663" s="73">
        <f>5</f>
        <v>5</v>
      </c>
      <c r="F663" s="72">
        <f>52.45</f>
        <v>52.45</v>
      </c>
      <c r="G663" s="31"/>
      <c r="H663" s="31" t="e">
        <f>#REF!*I$662</f>
        <v>#REF!</v>
      </c>
      <c r="I663" s="31">
        <f>4*I$662</f>
        <v>11.2</v>
      </c>
      <c r="J663" s="31" t="e">
        <f>H663-I663</f>
        <v>#REF!</v>
      </c>
      <c r="K663" s="114" t="e">
        <f>H663-(I663+J663)</f>
        <v>#REF!</v>
      </c>
      <c r="L663" s="72"/>
      <c r="M663" s="72" t="e">
        <f t="shared" ref="M663:M670" si="24">H663-(I663+J663+K663+L663)</f>
        <v>#REF!</v>
      </c>
      <c r="O663" s="72"/>
    </row>
    <row r="664" spans="1:16">
      <c r="A664" s="28" t="s">
        <v>119</v>
      </c>
      <c r="C664" s="28" t="s">
        <v>122</v>
      </c>
      <c r="D664" s="31"/>
      <c r="E664" s="73"/>
      <c r="F664" s="72"/>
      <c r="G664" s="31"/>
      <c r="J664" s="31"/>
      <c r="L664" s="72"/>
      <c r="M664" s="72">
        <f t="shared" si="24"/>
        <v>0</v>
      </c>
      <c r="O664" s="72"/>
    </row>
    <row r="665" spans="1:16">
      <c r="A665" s="28" t="s">
        <v>121</v>
      </c>
      <c r="C665" s="28" t="s">
        <v>124</v>
      </c>
      <c r="D665" s="31">
        <f>4.2</f>
        <v>4.2</v>
      </c>
      <c r="E665" s="73">
        <f>3.45</f>
        <v>3.45</v>
      </c>
      <c r="F665" s="72">
        <f>14.5</f>
        <v>14.5</v>
      </c>
      <c r="G665" s="31"/>
      <c r="H665" s="31" t="e">
        <f>#REF!*I$662</f>
        <v>#REF!</v>
      </c>
      <c r="I665" s="31">
        <f>(E665)*I$662</f>
        <v>9.66</v>
      </c>
      <c r="J665" s="31">
        <f>(D665+D665)*I$662</f>
        <v>23.52</v>
      </c>
      <c r="K665" s="114" t="e">
        <f>H665-(I665+J665)</f>
        <v>#REF!</v>
      </c>
      <c r="L665" s="115"/>
      <c r="M665" s="72" t="e">
        <f t="shared" si="24"/>
        <v>#REF!</v>
      </c>
      <c r="O665" s="72"/>
    </row>
    <row r="666" spans="1:16">
      <c r="A666" s="28" t="s">
        <v>123</v>
      </c>
      <c r="C666" s="28" t="s">
        <v>126</v>
      </c>
      <c r="D666" s="31">
        <f>F666/E666</f>
        <v>10.55</v>
      </c>
      <c r="E666" s="73">
        <f>2</f>
        <v>2</v>
      </c>
      <c r="F666" s="72">
        <f>21.1</f>
        <v>21.1</v>
      </c>
      <c r="G666" s="31"/>
      <c r="H666" s="31" t="e">
        <f>#REF!*I$662</f>
        <v>#REF!</v>
      </c>
      <c r="J666" s="31"/>
      <c r="K666" s="114" t="e">
        <f>H666-(I666+J666)</f>
        <v>#REF!</v>
      </c>
      <c r="L666" s="115"/>
      <c r="M666" s="72" t="e">
        <f t="shared" si="24"/>
        <v>#REF!</v>
      </c>
      <c r="O666" s="72"/>
    </row>
    <row r="667" spans="1:16">
      <c r="A667" s="28" t="s">
        <v>125</v>
      </c>
      <c r="C667" s="28" t="s">
        <v>126</v>
      </c>
      <c r="D667" s="31">
        <f>27</f>
        <v>27</v>
      </c>
      <c r="E667" s="73">
        <f>4</f>
        <v>4</v>
      </c>
      <c r="F667" s="72">
        <f>65.55</f>
        <v>65.55</v>
      </c>
      <c r="G667" s="31"/>
      <c r="H667" s="31" t="e">
        <f>#REF!*I$662</f>
        <v>#REF!</v>
      </c>
      <c r="I667" s="31">
        <f>(E667)*I$662</f>
        <v>11.2</v>
      </c>
      <c r="J667" s="31">
        <f>(E667)*I$662</f>
        <v>11.2</v>
      </c>
      <c r="K667" s="114" t="e">
        <f>H667-(I667+J667)</f>
        <v>#REF!</v>
      </c>
      <c r="L667" s="115"/>
      <c r="M667" s="72" t="e">
        <f t="shared" si="24"/>
        <v>#REF!</v>
      </c>
      <c r="O667" s="72"/>
    </row>
    <row r="668" spans="1:16">
      <c r="A668" s="28" t="s">
        <v>127</v>
      </c>
      <c r="C668" s="28" t="s">
        <v>126</v>
      </c>
      <c r="D668" s="31">
        <f>36</f>
        <v>36</v>
      </c>
      <c r="E668" s="73">
        <f>4</f>
        <v>4</v>
      </c>
      <c r="F668" s="72">
        <f>77.45</f>
        <v>77.45</v>
      </c>
      <c r="G668" s="31"/>
      <c r="H668" s="31" t="e">
        <f>#REF!*I$662</f>
        <v>#REF!</v>
      </c>
      <c r="I668" s="31">
        <f>(E668)*I$662</f>
        <v>11.2</v>
      </c>
      <c r="J668" s="31">
        <f>(E668)*I$662</f>
        <v>11.2</v>
      </c>
      <c r="K668" s="114" t="e">
        <f>H668-(I668+J668)</f>
        <v>#REF!</v>
      </c>
      <c r="L668" s="115"/>
      <c r="M668" s="72" t="e">
        <f t="shared" si="24"/>
        <v>#REF!</v>
      </c>
      <c r="O668" s="72"/>
    </row>
    <row r="669" spans="1:16">
      <c r="A669" s="28" t="s">
        <v>128</v>
      </c>
      <c r="C669" s="28" t="s">
        <v>253</v>
      </c>
      <c r="D669" s="31">
        <f>6.35</f>
        <v>6.35</v>
      </c>
      <c r="E669" s="73">
        <f>2.5</f>
        <v>2.5</v>
      </c>
      <c r="F669" s="72">
        <f>5.8</f>
        <v>5.8</v>
      </c>
      <c r="G669" s="31"/>
      <c r="H669" s="31" t="e">
        <f>#REF!*I$662</f>
        <v>#REF!</v>
      </c>
      <c r="I669" s="31">
        <f>(D669+E669)*I$662</f>
        <v>24.779999999999998</v>
      </c>
      <c r="J669" s="31">
        <f>(D669+E669)*I$662</f>
        <v>24.779999999999998</v>
      </c>
      <c r="K669" s="114" t="e">
        <f>H669-(I669+J669)</f>
        <v>#REF!</v>
      </c>
      <c r="L669" s="115"/>
      <c r="M669" s="72" t="e">
        <f t="shared" si="24"/>
        <v>#REF!</v>
      </c>
      <c r="O669" s="72"/>
    </row>
    <row r="670" spans="1:16">
      <c r="A670" s="28" t="s">
        <v>129</v>
      </c>
      <c r="C670" s="28" t="s">
        <v>254</v>
      </c>
      <c r="D670" s="73">
        <f>7</f>
        <v>7</v>
      </c>
      <c r="E670" s="73">
        <f>3</f>
        <v>3</v>
      </c>
      <c r="F670" s="72">
        <f>23.1</f>
        <v>23.1</v>
      </c>
      <c r="G670" s="31"/>
      <c r="H670" s="31" t="e">
        <f>#REF!*2</f>
        <v>#REF!</v>
      </c>
      <c r="I670" s="31">
        <f>(E670+E670)*2</f>
        <v>12</v>
      </c>
      <c r="J670" s="31">
        <f>(D670+D670)*2</f>
        <v>28</v>
      </c>
      <c r="K670" s="114"/>
      <c r="L670" s="72"/>
      <c r="M670" s="72" t="e">
        <f t="shared" si="24"/>
        <v>#REF!</v>
      </c>
      <c r="O670" s="72"/>
    </row>
    <row r="671" spans="1:16">
      <c r="C671" s="28"/>
      <c r="D671" s="73"/>
      <c r="E671" s="73"/>
      <c r="F671" s="72"/>
      <c r="G671" s="31"/>
      <c r="J671" s="31"/>
      <c r="K671" s="114"/>
      <c r="L671" s="72"/>
      <c r="M671" s="72"/>
      <c r="O671" s="72"/>
    </row>
    <row r="672" spans="1:16">
      <c r="A672" s="29"/>
      <c r="B672" s="29"/>
      <c r="C672" s="107" t="s">
        <v>255</v>
      </c>
      <c r="D672" s="73"/>
      <c r="E672" s="73"/>
      <c r="G672" s="31"/>
      <c r="J672" s="109"/>
      <c r="L672" s="72"/>
      <c r="M672" s="72">
        <f t="shared" ref="M672:M703" si="25">H672-(I672+J672+K672+L672)</f>
        <v>0</v>
      </c>
      <c r="O672" s="72"/>
    </row>
    <row r="673" spans="1:15">
      <c r="A673" s="28" t="s">
        <v>196</v>
      </c>
      <c r="C673" s="28" t="s">
        <v>256</v>
      </c>
      <c r="D673" s="31">
        <f>7.6</f>
        <v>7.6</v>
      </c>
      <c r="E673" s="73">
        <f>6.2</f>
        <v>6.2</v>
      </c>
      <c r="F673" s="72">
        <f>47.9</f>
        <v>47.9</v>
      </c>
      <c r="G673" s="31"/>
      <c r="H673" s="31" t="e">
        <f>#REF!*I$661</f>
        <v>#REF!</v>
      </c>
      <c r="I673" s="31">
        <f>(D673+E673)*I$661</f>
        <v>46.92</v>
      </c>
      <c r="J673" s="31"/>
      <c r="K673" s="114" t="e">
        <f t="shared" ref="K673:K680" si="26">H673-(I673+J673)</f>
        <v>#REF!</v>
      </c>
      <c r="L673" s="115"/>
      <c r="M673" s="72" t="e">
        <f t="shared" si="25"/>
        <v>#REF!</v>
      </c>
      <c r="O673" s="72"/>
    </row>
    <row r="674" spans="1:15">
      <c r="A674" s="28" t="s">
        <v>198</v>
      </c>
      <c r="C674" s="116" t="s">
        <v>257</v>
      </c>
      <c r="D674" s="117">
        <f>6.2</f>
        <v>6.2</v>
      </c>
      <c r="E674" s="118">
        <f>4</f>
        <v>4</v>
      </c>
      <c r="F674" s="72">
        <f>25.2</f>
        <v>25.2</v>
      </c>
      <c r="G674" s="31"/>
      <c r="H674" s="117" t="e">
        <f>#REF!*I$661</f>
        <v>#REF!</v>
      </c>
      <c r="I674" s="117">
        <f>(D674+E674)*I$661</f>
        <v>34.68</v>
      </c>
      <c r="J674" s="31"/>
      <c r="K674" s="114" t="e">
        <f t="shared" si="26"/>
        <v>#REF!</v>
      </c>
      <c r="L674" s="115"/>
      <c r="M674" s="72" t="e">
        <f t="shared" si="25"/>
        <v>#REF!</v>
      </c>
      <c r="O674" s="72"/>
    </row>
    <row r="675" spans="1:15">
      <c r="A675" s="28" t="s">
        <v>200</v>
      </c>
      <c r="C675" s="28" t="s">
        <v>258</v>
      </c>
      <c r="D675" s="31">
        <f>F675/E675</f>
        <v>4.7</v>
      </c>
      <c r="E675" s="73">
        <f>3</f>
        <v>3</v>
      </c>
      <c r="F675" s="72">
        <f>14.1</f>
        <v>14.1</v>
      </c>
      <c r="G675" s="31"/>
      <c r="H675" s="31" t="e">
        <f>#REF!*I$661</f>
        <v>#REF!</v>
      </c>
      <c r="I675" s="31">
        <f>(E675)*I$661</f>
        <v>10.199999999999999</v>
      </c>
      <c r="J675" s="31"/>
      <c r="K675" s="114" t="e">
        <f t="shared" si="26"/>
        <v>#REF!</v>
      </c>
      <c r="L675" s="115"/>
      <c r="M675" s="72" t="e">
        <f t="shared" si="25"/>
        <v>#REF!</v>
      </c>
      <c r="O675" s="72"/>
    </row>
    <row r="676" spans="1:15">
      <c r="A676" s="28" t="s">
        <v>201</v>
      </c>
      <c r="C676" s="28" t="s">
        <v>258</v>
      </c>
      <c r="D676" s="31">
        <f>F676/E676</f>
        <v>4.7</v>
      </c>
      <c r="E676" s="73">
        <f>3</f>
        <v>3</v>
      </c>
      <c r="F676" s="72">
        <f>14.1</f>
        <v>14.1</v>
      </c>
      <c r="G676" s="31"/>
      <c r="H676" s="31" t="e">
        <f>#REF!*I$661</f>
        <v>#REF!</v>
      </c>
      <c r="I676" s="31">
        <f>(E676)*I$661</f>
        <v>10.199999999999999</v>
      </c>
      <c r="J676" s="31"/>
      <c r="K676" s="114" t="e">
        <f t="shared" si="26"/>
        <v>#REF!</v>
      </c>
      <c r="L676" s="115"/>
      <c r="M676" s="72" t="e">
        <f t="shared" si="25"/>
        <v>#REF!</v>
      </c>
      <c r="O676" s="72"/>
    </row>
    <row r="677" spans="1:15">
      <c r="A677" s="28" t="s">
        <v>203</v>
      </c>
      <c r="C677" s="28" t="s">
        <v>258</v>
      </c>
      <c r="D677" s="31">
        <f>F677/E677</f>
        <v>4.7</v>
      </c>
      <c r="E677" s="73">
        <f>3</f>
        <v>3</v>
      </c>
      <c r="F677" s="72">
        <f>14.1</f>
        <v>14.1</v>
      </c>
      <c r="G677" s="31"/>
      <c r="H677" s="31" t="e">
        <f>#REF!*I$661</f>
        <v>#REF!</v>
      </c>
      <c r="I677" s="31">
        <f>(E677)*I$661</f>
        <v>10.199999999999999</v>
      </c>
      <c r="J677" s="31"/>
      <c r="K677" s="114" t="e">
        <f t="shared" si="26"/>
        <v>#REF!</v>
      </c>
      <c r="L677" s="115"/>
      <c r="M677" s="72" t="e">
        <f t="shared" si="25"/>
        <v>#REF!</v>
      </c>
      <c r="O677" s="72"/>
    </row>
    <row r="678" spans="1:15">
      <c r="A678" s="28" t="s">
        <v>259</v>
      </c>
      <c r="C678" s="28" t="s">
        <v>258</v>
      </c>
      <c r="D678" s="31">
        <f>F678/E678</f>
        <v>4.7</v>
      </c>
      <c r="E678" s="73">
        <f>3</f>
        <v>3</v>
      </c>
      <c r="F678" s="72">
        <f>14.1</f>
        <v>14.1</v>
      </c>
      <c r="G678" s="31"/>
      <c r="H678" s="31" t="e">
        <f>#REF!*I$661</f>
        <v>#REF!</v>
      </c>
      <c r="I678" s="31">
        <f>(E678)*I$661</f>
        <v>10.199999999999999</v>
      </c>
      <c r="J678" s="31"/>
      <c r="K678" s="114" t="e">
        <f t="shared" si="26"/>
        <v>#REF!</v>
      </c>
      <c r="L678" s="115"/>
      <c r="M678" s="72" t="e">
        <f t="shared" si="25"/>
        <v>#REF!</v>
      </c>
      <c r="O678" s="72"/>
    </row>
    <row r="679" spans="1:15">
      <c r="A679" s="28" t="s">
        <v>260</v>
      </c>
      <c r="C679" s="28" t="s">
        <v>261</v>
      </c>
      <c r="D679" s="31">
        <f>4.7</f>
        <v>4.7</v>
      </c>
      <c r="E679" s="73">
        <f>4</f>
        <v>4</v>
      </c>
      <c r="F679" s="72">
        <f>17.85</f>
        <v>17.850000000000001</v>
      </c>
      <c r="G679" s="31"/>
      <c r="H679" s="31" t="e">
        <f>#REF!*I$661</f>
        <v>#REF!</v>
      </c>
      <c r="I679" s="31">
        <f>(D679/2+E679)*I$661</f>
        <v>21.59</v>
      </c>
      <c r="J679" s="31">
        <f>(E679)*I$661</f>
        <v>13.6</v>
      </c>
      <c r="K679" s="114" t="e">
        <f t="shared" si="26"/>
        <v>#REF!</v>
      </c>
      <c r="L679" s="115"/>
      <c r="M679" s="72" t="e">
        <f t="shared" si="25"/>
        <v>#REF!</v>
      </c>
      <c r="O679" s="72"/>
    </row>
    <row r="680" spans="1:15">
      <c r="A680" s="28" t="s">
        <v>262</v>
      </c>
      <c r="C680" s="28" t="s">
        <v>263</v>
      </c>
      <c r="D680" s="31">
        <f>4.7</f>
        <v>4.7</v>
      </c>
      <c r="E680" s="73">
        <f>4</f>
        <v>4</v>
      </c>
      <c r="F680" s="72">
        <f>18.8</f>
        <v>18.8</v>
      </c>
      <c r="G680" s="31"/>
      <c r="H680" s="31" t="e">
        <f>#REF!*I$661</f>
        <v>#REF!</v>
      </c>
      <c r="I680" s="31">
        <f>(D680/2+E680)*I$661</f>
        <v>21.59</v>
      </c>
      <c r="J680" s="31">
        <f>(D680/2)*I$661</f>
        <v>7.99</v>
      </c>
      <c r="K680" s="114" t="e">
        <f t="shared" si="26"/>
        <v>#REF!</v>
      </c>
      <c r="L680" s="115"/>
      <c r="M680" s="72" t="e">
        <f t="shared" si="25"/>
        <v>#REF!</v>
      </c>
      <c r="O680" s="72"/>
    </row>
    <row r="681" spans="1:15">
      <c r="A681" s="28" t="s">
        <v>264</v>
      </c>
      <c r="C681" s="116" t="s">
        <v>132</v>
      </c>
      <c r="D681" s="117">
        <f>2.3</f>
        <v>2.2999999999999998</v>
      </c>
      <c r="E681" s="118">
        <f>1.3</f>
        <v>1.3</v>
      </c>
      <c r="F681" s="72">
        <f>3</f>
        <v>3</v>
      </c>
      <c r="G681" s="31"/>
      <c r="H681" s="117" t="e">
        <f>#REF!*I$662</f>
        <v>#REF!</v>
      </c>
      <c r="I681" s="117">
        <f>(E681)*I$662</f>
        <v>3.6399999999999997</v>
      </c>
      <c r="J681" s="117">
        <f>(D681)*I$662</f>
        <v>6.4399999999999995</v>
      </c>
      <c r="L681" s="117" t="e">
        <f>H681-(I681+J681+K681)</f>
        <v>#REF!</v>
      </c>
      <c r="M681" s="72" t="e">
        <f t="shared" si="25"/>
        <v>#REF!</v>
      </c>
      <c r="O681" s="117"/>
    </row>
    <row r="682" spans="1:15">
      <c r="A682" s="28" t="s">
        <v>265</v>
      </c>
      <c r="C682" s="116" t="s">
        <v>266</v>
      </c>
      <c r="D682" s="134">
        <f>2.375</f>
        <v>2.375</v>
      </c>
      <c r="E682" s="122">
        <f>2.025</f>
        <v>2.0249999999999999</v>
      </c>
      <c r="F682" s="72">
        <f>4.8</f>
        <v>4.8</v>
      </c>
      <c r="G682" s="31"/>
      <c r="H682" s="117" t="e">
        <f>#REF!*I$662</f>
        <v>#REF!</v>
      </c>
      <c r="I682" s="117">
        <f>(E682)*I$662</f>
        <v>5.669999999999999</v>
      </c>
      <c r="J682" s="117">
        <f>(D682)*I$662</f>
        <v>6.6499999999999995</v>
      </c>
      <c r="L682" s="117" t="e">
        <f>H682-(I682+J682+K682)</f>
        <v>#REF!</v>
      </c>
      <c r="M682" s="72" t="e">
        <f t="shared" si="25"/>
        <v>#REF!</v>
      </c>
      <c r="O682" s="117"/>
    </row>
    <row r="683" spans="1:15">
      <c r="A683" s="29"/>
      <c r="B683" s="29"/>
      <c r="C683" s="107" t="s">
        <v>267</v>
      </c>
      <c r="D683" s="117"/>
      <c r="E683" s="118"/>
      <c r="G683" s="31"/>
      <c r="H683" s="117"/>
      <c r="I683" s="29"/>
      <c r="J683" s="117"/>
      <c r="L683" s="115"/>
      <c r="M683" s="72">
        <f t="shared" si="25"/>
        <v>0</v>
      </c>
      <c r="O683" s="117"/>
    </row>
    <row r="684" spans="1:15">
      <c r="A684" s="28" t="s">
        <v>268</v>
      </c>
      <c r="C684" s="28" t="s">
        <v>269</v>
      </c>
      <c r="D684" s="31">
        <f>8.5</f>
        <v>8.5</v>
      </c>
      <c r="E684" s="73">
        <f>3.6</f>
        <v>3.6</v>
      </c>
      <c r="F684" s="72">
        <f>27.65</f>
        <v>27.65</v>
      </c>
      <c r="G684" s="31"/>
      <c r="H684" s="31" t="e">
        <f>#REF!*I$662</f>
        <v>#REF!</v>
      </c>
      <c r="I684" s="31">
        <f>(E684)*I$662</f>
        <v>10.08</v>
      </c>
      <c r="J684" s="31"/>
      <c r="K684" s="114" t="e">
        <f>H684-(I684+J684)</f>
        <v>#REF!</v>
      </c>
      <c r="L684" s="115"/>
      <c r="M684" s="72" t="e">
        <f t="shared" si="25"/>
        <v>#REF!</v>
      </c>
      <c r="O684" s="72"/>
    </row>
    <row r="685" spans="1:15">
      <c r="A685" s="28" t="s">
        <v>270</v>
      </c>
      <c r="C685" s="28" t="s">
        <v>271</v>
      </c>
      <c r="D685" s="31">
        <f>2</f>
        <v>2</v>
      </c>
      <c r="E685" s="73">
        <f>2</f>
        <v>2</v>
      </c>
      <c r="F685" s="72">
        <f>4</f>
        <v>4</v>
      </c>
      <c r="G685" s="31"/>
      <c r="H685" s="31" t="e">
        <f>#REF!*I$662</f>
        <v>#REF!</v>
      </c>
      <c r="I685" s="31">
        <f>(E685)*I$662</f>
        <v>5.6</v>
      </c>
      <c r="J685" s="31">
        <f>(D685+E685)*I$662</f>
        <v>11.2</v>
      </c>
      <c r="K685" s="114" t="e">
        <f>H685-(I685+J685)</f>
        <v>#REF!</v>
      </c>
      <c r="L685" s="115"/>
      <c r="M685" s="72" t="e">
        <f t="shared" si="25"/>
        <v>#REF!</v>
      </c>
      <c r="O685" s="72"/>
    </row>
    <row r="686" spans="1:15">
      <c r="A686" s="28" t="s">
        <v>272</v>
      </c>
      <c r="C686" s="28" t="s">
        <v>271</v>
      </c>
      <c r="D686" s="31">
        <f>2</f>
        <v>2</v>
      </c>
      <c r="E686" s="124">
        <f>F686/D686</f>
        <v>1.875</v>
      </c>
      <c r="F686" s="72">
        <f>3.75</f>
        <v>3.75</v>
      </c>
      <c r="G686" s="31"/>
      <c r="H686" s="31" t="e">
        <f>#REF!*I$662</f>
        <v>#REF!</v>
      </c>
      <c r="J686" s="31">
        <f>(D686+E686)*I$662</f>
        <v>10.85</v>
      </c>
      <c r="K686" s="114" t="e">
        <f>H686-(I686+J686)</f>
        <v>#REF!</v>
      </c>
      <c r="L686" s="115"/>
      <c r="M686" s="72" t="e">
        <f t="shared" si="25"/>
        <v>#REF!</v>
      </c>
      <c r="O686" s="72"/>
    </row>
    <row r="687" spans="1:15">
      <c r="A687" s="29"/>
      <c r="B687" s="29"/>
      <c r="C687" s="107" t="s">
        <v>273</v>
      </c>
      <c r="D687" s="108"/>
      <c r="E687" s="73"/>
      <c r="J687" s="109"/>
      <c r="L687" s="115"/>
      <c r="M687" s="72">
        <f t="shared" si="25"/>
        <v>0</v>
      </c>
      <c r="O687" s="72"/>
    </row>
    <row r="688" spans="1:15">
      <c r="A688" s="28" t="s">
        <v>274</v>
      </c>
      <c r="C688" s="116" t="s">
        <v>275</v>
      </c>
      <c r="D688" s="117">
        <f>4.32</f>
        <v>4.32</v>
      </c>
      <c r="E688" s="122">
        <f>2.825</f>
        <v>2.8250000000000002</v>
      </c>
      <c r="F688" s="72">
        <f>12.2</f>
        <v>12.2</v>
      </c>
      <c r="G688" s="31"/>
      <c r="H688" s="117" t="e">
        <f>#REF!*I$662</f>
        <v>#REF!</v>
      </c>
      <c r="I688" s="117">
        <f>(E688)*I$662</f>
        <v>7.91</v>
      </c>
      <c r="J688" s="117">
        <f>(D688)*I$662</f>
        <v>12.096</v>
      </c>
      <c r="K688" s="114"/>
      <c r="L688" s="117" t="e">
        <f>H688-(I688+J688+K688)</f>
        <v>#REF!</v>
      </c>
      <c r="M688" s="72" t="e">
        <f t="shared" si="25"/>
        <v>#REF!</v>
      </c>
      <c r="O688" s="72"/>
    </row>
    <row r="689" spans="1:15">
      <c r="A689" s="28" t="s">
        <v>276</v>
      </c>
      <c r="C689" s="28" t="s">
        <v>277</v>
      </c>
      <c r="D689" s="31">
        <f>7.5</f>
        <v>7.5</v>
      </c>
      <c r="E689" s="73">
        <f>4.5</f>
        <v>4.5</v>
      </c>
      <c r="F689" s="72">
        <f>26.6</f>
        <v>26.6</v>
      </c>
      <c r="G689" s="31"/>
      <c r="H689" s="31" t="e">
        <f>#REF!*I$662</f>
        <v>#REF!</v>
      </c>
      <c r="I689" s="31">
        <f>(D689/2+E689)*I$662</f>
        <v>23.099999999999998</v>
      </c>
      <c r="J689" s="31">
        <f>(D689*1.5+E689)*I$662</f>
        <v>44.099999999999994</v>
      </c>
      <c r="K689" s="114" t="e">
        <f>H689-(I689+J689)</f>
        <v>#REF!</v>
      </c>
      <c r="L689" s="115"/>
      <c r="M689" s="72" t="e">
        <f t="shared" si="25"/>
        <v>#REF!</v>
      </c>
      <c r="O689" s="72"/>
    </row>
    <row r="690" spans="1:15">
      <c r="A690" s="28" t="s">
        <v>278</v>
      </c>
      <c r="C690" s="116" t="s">
        <v>163</v>
      </c>
      <c r="D690" s="117">
        <f>2.85</f>
        <v>2.85</v>
      </c>
      <c r="E690" s="118">
        <f>2.2</f>
        <v>2.2000000000000002</v>
      </c>
      <c r="F690" s="72">
        <f>6.25</f>
        <v>6.25</v>
      </c>
      <c r="G690" s="31"/>
      <c r="H690" s="117" t="e">
        <f>#REF!*I$662</f>
        <v>#REF!</v>
      </c>
      <c r="I690" s="29"/>
      <c r="J690" s="117">
        <f>(D690+E690)*I$662</f>
        <v>14.14</v>
      </c>
      <c r="L690" s="117" t="e">
        <f>H690-(I690+J690+K690)</f>
        <v>#REF!</v>
      </c>
      <c r="M690" s="72" t="e">
        <f t="shared" si="25"/>
        <v>#REF!</v>
      </c>
      <c r="O690" s="117"/>
    </row>
    <row r="691" spans="1:15">
      <c r="A691" s="28" t="s">
        <v>279</v>
      </c>
      <c r="C691" s="28" t="s">
        <v>277</v>
      </c>
      <c r="D691" s="31">
        <f>7.5</f>
        <v>7.5</v>
      </c>
      <c r="E691" s="73">
        <f>4.5</f>
        <v>4.5</v>
      </c>
      <c r="F691" s="72">
        <f>29.45</f>
        <v>29.45</v>
      </c>
      <c r="G691" s="31"/>
      <c r="H691" s="31" t="e">
        <f>#REF!*I$662</f>
        <v>#REF!</v>
      </c>
      <c r="I691" s="31">
        <f>(E691)*I$662</f>
        <v>12.6</v>
      </c>
      <c r="J691" s="31">
        <f>(D691+D691)*I$662</f>
        <v>42</v>
      </c>
      <c r="K691" s="114" t="e">
        <f>H691-(I691+J691)</f>
        <v>#REF!</v>
      </c>
      <c r="L691" s="115"/>
      <c r="M691" s="72" t="e">
        <f t="shared" si="25"/>
        <v>#REF!</v>
      </c>
      <c r="O691" s="72"/>
    </row>
    <row r="692" spans="1:15">
      <c r="A692" s="28" t="s">
        <v>280</v>
      </c>
      <c r="C692" s="116" t="s">
        <v>163</v>
      </c>
      <c r="D692" s="134">
        <f>2.225</f>
        <v>2.2250000000000001</v>
      </c>
      <c r="E692" s="118">
        <f>1.8</f>
        <v>1.8</v>
      </c>
      <c r="F692" s="72">
        <f>4</f>
        <v>4</v>
      </c>
      <c r="G692" s="31"/>
      <c r="H692" s="117" t="e">
        <f>#REF!*I$662</f>
        <v>#REF!</v>
      </c>
      <c r="I692" s="29"/>
      <c r="J692" s="117">
        <f>(D692+E692)*I$662</f>
        <v>11.27</v>
      </c>
      <c r="L692" s="117" t="e">
        <f>H692-(I692+J692+K692)</f>
        <v>#REF!</v>
      </c>
      <c r="M692" s="72" t="e">
        <f t="shared" si="25"/>
        <v>#REF!</v>
      </c>
      <c r="O692" s="117"/>
    </row>
    <row r="693" spans="1:15">
      <c r="A693" s="28" t="s">
        <v>281</v>
      </c>
      <c r="C693" s="28" t="s">
        <v>282</v>
      </c>
      <c r="D693" s="31">
        <f>6.35</f>
        <v>6.35</v>
      </c>
      <c r="E693" s="73">
        <f>4.55</f>
        <v>4.55</v>
      </c>
      <c r="F693" s="72">
        <f>24</f>
        <v>24</v>
      </c>
      <c r="G693" s="31"/>
      <c r="H693" s="31" t="e">
        <f>#REF!*I$662</f>
        <v>#REF!</v>
      </c>
      <c r="I693" s="31">
        <f>(E693)*I$662</f>
        <v>12.739999999999998</v>
      </c>
      <c r="J693" s="31">
        <f>(D693+D693)*I$662</f>
        <v>35.559999999999995</v>
      </c>
      <c r="K693" s="114" t="e">
        <f>H693-(I693+J693)</f>
        <v>#REF!</v>
      </c>
      <c r="L693" s="115"/>
      <c r="M693" s="72" t="e">
        <f t="shared" si="25"/>
        <v>#REF!</v>
      </c>
      <c r="O693" s="72"/>
    </row>
    <row r="694" spans="1:15">
      <c r="A694" s="28" t="s">
        <v>283</v>
      </c>
      <c r="C694" s="116" t="s">
        <v>163</v>
      </c>
      <c r="D694" s="134">
        <f>2.225</f>
        <v>2.2250000000000001</v>
      </c>
      <c r="E694" s="118">
        <f>1.8</f>
        <v>1.8</v>
      </c>
      <c r="F694" s="72">
        <f>4</f>
        <v>4</v>
      </c>
      <c r="G694" s="31"/>
      <c r="H694" s="117" t="e">
        <f>#REF!*I$662</f>
        <v>#REF!</v>
      </c>
      <c r="I694" s="29"/>
      <c r="J694" s="117">
        <f>(D694+E694)*I$662</f>
        <v>11.27</v>
      </c>
      <c r="L694" s="117" t="e">
        <f>H694-(I694+J694+K694)</f>
        <v>#REF!</v>
      </c>
      <c r="M694" s="72" t="e">
        <f t="shared" si="25"/>
        <v>#REF!</v>
      </c>
      <c r="O694" s="117"/>
    </row>
    <row r="695" spans="1:15">
      <c r="A695" s="28" t="s">
        <v>284</v>
      </c>
      <c r="C695" s="28" t="s">
        <v>282</v>
      </c>
      <c r="D695" s="31">
        <f>6.35</f>
        <v>6.35</v>
      </c>
      <c r="E695" s="73">
        <f>4.5</f>
        <v>4.5</v>
      </c>
      <c r="F695" s="72">
        <f>24</f>
        <v>24</v>
      </c>
      <c r="G695" s="31"/>
      <c r="H695" s="31" t="e">
        <f>#REF!*I$662</f>
        <v>#REF!</v>
      </c>
      <c r="I695" s="31">
        <f>(E695)*I$662</f>
        <v>12.6</v>
      </c>
      <c r="J695" s="31">
        <f>(D695+D695)*I$662</f>
        <v>35.559999999999995</v>
      </c>
      <c r="K695" s="114" t="e">
        <f>H695-(I695+J695)</f>
        <v>#REF!</v>
      </c>
      <c r="L695" s="115"/>
      <c r="M695" s="72" t="e">
        <f t="shared" si="25"/>
        <v>#REF!</v>
      </c>
      <c r="O695" s="72"/>
    </row>
    <row r="696" spans="1:15">
      <c r="A696" s="28" t="s">
        <v>285</v>
      </c>
      <c r="C696" s="116" t="s">
        <v>163</v>
      </c>
      <c r="D696" s="134">
        <f>2.225</f>
        <v>2.2250000000000001</v>
      </c>
      <c r="E696" s="118">
        <f>1.8</f>
        <v>1.8</v>
      </c>
      <c r="F696" s="72">
        <f>4</f>
        <v>4</v>
      </c>
      <c r="G696" s="31"/>
      <c r="H696" s="117" t="e">
        <f>#REF!*I$662</f>
        <v>#REF!</v>
      </c>
      <c r="I696" s="29"/>
      <c r="J696" s="117">
        <f>(D696+E696)*I$662</f>
        <v>11.27</v>
      </c>
      <c r="L696" s="117" t="e">
        <f>H696-(I696+J696+K696)</f>
        <v>#REF!</v>
      </c>
      <c r="M696" s="72" t="e">
        <f t="shared" si="25"/>
        <v>#REF!</v>
      </c>
      <c r="O696" s="117"/>
    </row>
    <row r="697" spans="1:15">
      <c r="A697" s="28" t="s">
        <v>286</v>
      </c>
      <c r="C697" s="28" t="s">
        <v>282</v>
      </c>
      <c r="D697" s="31">
        <f>6.35</f>
        <v>6.35</v>
      </c>
      <c r="E697" s="73">
        <f>4.5</f>
        <v>4.5</v>
      </c>
      <c r="F697" s="72">
        <f>24</f>
        <v>24</v>
      </c>
      <c r="G697" s="31"/>
      <c r="H697" s="31" t="e">
        <f>#REF!*I$662</f>
        <v>#REF!</v>
      </c>
      <c r="I697" s="31">
        <f>(E697)*I$662</f>
        <v>12.6</v>
      </c>
      <c r="J697" s="31">
        <f>(D697+D697)*I$662</f>
        <v>35.559999999999995</v>
      </c>
      <c r="K697" s="114" t="e">
        <f>H697-(I697+J697)</f>
        <v>#REF!</v>
      </c>
      <c r="L697" s="115"/>
      <c r="M697" s="72" t="e">
        <f t="shared" si="25"/>
        <v>#REF!</v>
      </c>
      <c r="O697" s="72"/>
    </row>
    <row r="698" spans="1:15">
      <c r="A698" s="28" t="s">
        <v>287</v>
      </c>
      <c r="C698" s="116" t="s">
        <v>163</v>
      </c>
      <c r="D698" s="134">
        <f>2.225</f>
        <v>2.2250000000000001</v>
      </c>
      <c r="E698" s="118">
        <f>1.8</f>
        <v>1.8</v>
      </c>
      <c r="F698" s="72">
        <f>4</f>
        <v>4</v>
      </c>
      <c r="G698" s="31"/>
      <c r="H698" s="117" t="e">
        <f>#REF!*I$662</f>
        <v>#REF!</v>
      </c>
      <c r="I698" s="29"/>
      <c r="J698" s="117">
        <f>(D698+E698)*I$662</f>
        <v>11.27</v>
      </c>
      <c r="L698" s="117" t="e">
        <f>H698-(I698+J698+K698)</f>
        <v>#REF!</v>
      </c>
      <c r="M698" s="72" t="e">
        <f t="shared" si="25"/>
        <v>#REF!</v>
      </c>
      <c r="O698" s="117"/>
    </row>
    <row r="699" spans="1:15">
      <c r="A699" s="28" t="s">
        <v>288</v>
      </c>
      <c r="C699" s="28" t="s">
        <v>282</v>
      </c>
      <c r="D699" s="31">
        <f>6.35</f>
        <v>6.35</v>
      </c>
      <c r="E699" s="73">
        <f>4.5</f>
        <v>4.5</v>
      </c>
      <c r="F699" s="72">
        <f>24</f>
        <v>24</v>
      </c>
      <c r="G699" s="31"/>
      <c r="H699" s="31" t="e">
        <f>#REF!*I$662</f>
        <v>#REF!</v>
      </c>
      <c r="I699" s="31">
        <f>(E699)*I$662</f>
        <v>12.6</v>
      </c>
      <c r="J699" s="31">
        <f>(D699+D699)*I$662</f>
        <v>35.559999999999995</v>
      </c>
      <c r="K699" s="114" t="e">
        <f>H699-(I699+J699)</f>
        <v>#REF!</v>
      </c>
      <c r="L699" s="115"/>
      <c r="M699" s="72" t="e">
        <f t="shared" si="25"/>
        <v>#REF!</v>
      </c>
      <c r="O699" s="72"/>
    </row>
    <row r="700" spans="1:15">
      <c r="A700" s="28" t="s">
        <v>289</v>
      </c>
      <c r="C700" s="116" t="s">
        <v>163</v>
      </c>
      <c r="D700" s="134">
        <f>2.225</f>
        <v>2.2250000000000001</v>
      </c>
      <c r="E700" s="118">
        <f>1.8</f>
        <v>1.8</v>
      </c>
      <c r="F700" s="72">
        <f>4</f>
        <v>4</v>
      </c>
      <c r="G700" s="31"/>
      <c r="H700" s="117" t="e">
        <f>#REF!*I$662</f>
        <v>#REF!</v>
      </c>
      <c r="I700" s="29"/>
      <c r="J700" s="117">
        <f>(D700+E700)*I$662</f>
        <v>11.27</v>
      </c>
      <c r="L700" s="117" t="e">
        <f>H700-(I700+J700+K700)</f>
        <v>#REF!</v>
      </c>
      <c r="M700" s="72" t="e">
        <f t="shared" si="25"/>
        <v>#REF!</v>
      </c>
      <c r="O700" s="117"/>
    </row>
    <row r="701" spans="1:15">
      <c r="A701" s="28" t="s">
        <v>290</v>
      </c>
      <c r="C701" s="28" t="s">
        <v>291</v>
      </c>
      <c r="D701" s="31">
        <f>6.35</f>
        <v>6.35</v>
      </c>
      <c r="E701" s="124">
        <f>2.925</f>
        <v>2.9249999999999998</v>
      </c>
      <c r="F701" s="72">
        <f>14.75</f>
        <v>14.75</v>
      </c>
      <c r="G701" s="31"/>
      <c r="H701" s="31" t="e">
        <f>#REF!*I$662</f>
        <v>#REF!</v>
      </c>
      <c r="I701" s="31">
        <f>(D701+E701)*I$662</f>
        <v>25.969999999999995</v>
      </c>
      <c r="J701" s="31">
        <f>(D701+E701)*I$662</f>
        <v>25.969999999999995</v>
      </c>
      <c r="K701" s="114" t="e">
        <f>H701-(I701+J701)</f>
        <v>#REF!</v>
      </c>
      <c r="L701" s="115"/>
      <c r="M701" s="72" t="e">
        <f t="shared" si="25"/>
        <v>#REF!</v>
      </c>
      <c r="O701" s="72"/>
    </row>
    <row r="702" spans="1:15">
      <c r="A702" s="28" t="s">
        <v>292</v>
      </c>
      <c r="C702" s="116" t="s">
        <v>163</v>
      </c>
      <c r="D702" s="134">
        <f>2.225</f>
        <v>2.2250000000000001</v>
      </c>
      <c r="E702" s="118">
        <f>1.4</f>
        <v>1.4</v>
      </c>
      <c r="F702" s="72">
        <f>3.1</f>
        <v>3.1</v>
      </c>
      <c r="G702" s="31"/>
      <c r="H702" s="117" t="e">
        <f>#REF!*I$662</f>
        <v>#REF!</v>
      </c>
      <c r="I702" s="29"/>
      <c r="J702" s="117">
        <f>(D702+E702)*I$662</f>
        <v>10.149999999999999</v>
      </c>
      <c r="L702" s="117" t="e">
        <f>H702-(I702+J702+K702)</f>
        <v>#REF!</v>
      </c>
      <c r="M702" s="72" t="e">
        <f t="shared" si="25"/>
        <v>#REF!</v>
      </c>
      <c r="O702" s="117"/>
    </row>
    <row r="703" spans="1:15">
      <c r="A703" s="28" t="s">
        <v>293</v>
      </c>
      <c r="C703" s="28" t="s">
        <v>294</v>
      </c>
      <c r="D703" s="31">
        <f>6.35</f>
        <v>6.35</v>
      </c>
      <c r="E703" s="124">
        <f>2.925</f>
        <v>2.9249999999999998</v>
      </c>
      <c r="F703" s="72">
        <f>14.75</f>
        <v>14.75</v>
      </c>
      <c r="G703" s="31"/>
      <c r="H703" s="31" t="e">
        <f>#REF!*I$662</f>
        <v>#REF!</v>
      </c>
      <c r="I703" s="31">
        <f>(E703)*I$662</f>
        <v>8.19</v>
      </c>
      <c r="J703" s="31">
        <f>(D703+D703)*I$662</f>
        <v>35.559999999999995</v>
      </c>
      <c r="K703" s="114" t="e">
        <f>H703-(I703+J703)</f>
        <v>#REF!</v>
      </c>
      <c r="L703" s="115"/>
      <c r="M703" s="72" t="e">
        <f t="shared" si="25"/>
        <v>#REF!</v>
      </c>
      <c r="O703" s="72"/>
    </row>
    <row r="704" spans="1:15">
      <c r="A704" s="28" t="s">
        <v>295</v>
      </c>
      <c r="C704" s="116" t="s">
        <v>163</v>
      </c>
      <c r="D704" s="134">
        <f>2.225</f>
        <v>2.2250000000000001</v>
      </c>
      <c r="E704" s="118">
        <f>1.4</f>
        <v>1.4</v>
      </c>
      <c r="F704" s="72">
        <f>3.1</f>
        <v>3.1</v>
      </c>
      <c r="G704" s="31"/>
      <c r="H704" s="117" t="e">
        <f>#REF!*I$662</f>
        <v>#REF!</v>
      </c>
      <c r="I704" s="29"/>
      <c r="J704" s="117">
        <f>(D704+E704)*I$662</f>
        <v>10.149999999999999</v>
      </c>
      <c r="L704" s="117" t="e">
        <f>H704-(I704+J704+K704)</f>
        <v>#REF!</v>
      </c>
      <c r="M704" s="72" t="e">
        <f t="shared" ref="M704:M735" si="27">H704-(I704+J704+K704+L704)</f>
        <v>#REF!</v>
      </c>
      <c r="O704" s="117"/>
    </row>
    <row r="705" spans="1:15">
      <c r="A705" s="28" t="s">
        <v>296</v>
      </c>
      <c r="C705" s="28" t="s">
        <v>291</v>
      </c>
      <c r="D705" s="31">
        <f>6.35</f>
        <v>6.35</v>
      </c>
      <c r="E705" s="124">
        <f>2.925</f>
        <v>2.9249999999999998</v>
      </c>
      <c r="F705" s="72">
        <f>14.75</f>
        <v>14.75</v>
      </c>
      <c r="G705" s="31"/>
      <c r="H705" s="31" t="e">
        <f>#REF!*I$662</f>
        <v>#REF!</v>
      </c>
      <c r="I705" s="31">
        <f>(E705)*I$662</f>
        <v>8.19</v>
      </c>
      <c r="J705" s="31">
        <f>(D705+D705)*I$662</f>
        <v>35.559999999999995</v>
      </c>
      <c r="K705" s="114" t="e">
        <f>H705-(I705+J705)</f>
        <v>#REF!</v>
      </c>
      <c r="L705" s="115"/>
      <c r="M705" s="72" t="e">
        <f t="shared" si="27"/>
        <v>#REF!</v>
      </c>
      <c r="O705" s="72"/>
    </row>
    <row r="706" spans="1:15">
      <c r="A706" s="28" t="s">
        <v>297</v>
      </c>
      <c r="C706" s="116" t="s">
        <v>163</v>
      </c>
      <c r="D706" s="134">
        <f>2.225</f>
        <v>2.2250000000000001</v>
      </c>
      <c r="E706" s="118">
        <f>1.4</f>
        <v>1.4</v>
      </c>
      <c r="F706" s="72">
        <f>3.1</f>
        <v>3.1</v>
      </c>
      <c r="G706" s="31"/>
      <c r="H706" s="117" t="e">
        <f>#REF!*I$662</f>
        <v>#REF!</v>
      </c>
      <c r="I706" s="29"/>
      <c r="J706" s="117">
        <f>(D706+E706)*I$662</f>
        <v>10.149999999999999</v>
      </c>
      <c r="L706" s="117" t="e">
        <f>H706-(I706+J706+K706)</f>
        <v>#REF!</v>
      </c>
      <c r="M706" s="72" t="e">
        <f t="shared" si="27"/>
        <v>#REF!</v>
      </c>
      <c r="O706" s="117"/>
    </row>
    <row r="707" spans="1:15">
      <c r="A707" s="28" t="s">
        <v>298</v>
      </c>
      <c r="C707" s="28" t="s">
        <v>294</v>
      </c>
      <c r="D707" s="31">
        <f>6.35</f>
        <v>6.35</v>
      </c>
      <c r="E707" s="124">
        <f>2.925</f>
        <v>2.9249999999999998</v>
      </c>
      <c r="F707" s="72">
        <f>14.75</f>
        <v>14.75</v>
      </c>
      <c r="G707" s="31"/>
      <c r="H707" s="31" t="e">
        <f>#REF!*I$662</f>
        <v>#REF!</v>
      </c>
      <c r="I707" s="31">
        <f>(E707)*I$662</f>
        <v>8.19</v>
      </c>
      <c r="J707" s="31">
        <f>(D707+D707)*I$662</f>
        <v>35.559999999999995</v>
      </c>
      <c r="K707" s="114" t="e">
        <f>H707-(I707+J707)</f>
        <v>#REF!</v>
      </c>
      <c r="L707" s="115"/>
      <c r="M707" s="72" t="e">
        <f t="shared" si="27"/>
        <v>#REF!</v>
      </c>
      <c r="O707" s="72"/>
    </row>
    <row r="708" spans="1:15">
      <c r="A708" s="28" t="s">
        <v>299</v>
      </c>
      <c r="C708" s="116" t="s">
        <v>163</v>
      </c>
      <c r="D708" s="134">
        <f>2.225</f>
        <v>2.2250000000000001</v>
      </c>
      <c r="E708" s="118">
        <f>1.4</f>
        <v>1.4</v>
      </c>
      <c r="F708" s="72">
        <f>3.1</f>
        <v>3.1</v>
      </c>
      <c r="G708" s="31"/>
      <c r="H708" s="117" t="e">
        <f>#REF!*I$662</f>
        <v>#REF!</v>
      </c>
      <c r="I708" s="29"/>
      <c r="J708" s="117">
        <f>(D708+E708)*I$662</f>
        <v>10.149999999999999</v>
      </c>
      <c r="L708" s="117" t="e">
        <f>H708-(I708+J708+K708)</f>
        <v>#REF!</v>
      </c>
      <c r="M708" s="72" t="e">
        <f t="shared" si="27"/>
        <v>#REF!</v>
      </c>
      <c r="O708" s="117"/>
    </row>
    <row r="709" spans="1:15">
      <c r="A709" s="28" t="s">
        <v>300</v>
      </c>
      <c r="C709" s="28" t="s">
        <v>294</v>
      </c>
      <c r="D709" s="31">
        <f>6.35</f>
        <v>6.35</v>
      </c>
      <c r="E709" s="124">
        <f>2.925</f>
        <v>2.9249999999999998</v>
      </c>
      <c r="F709" s="72">
        <f>13.6</f>
        <v>13.6</v>
      </c>
      <c r="G709" s="31"/>
      <c r="H709" s="31" t="e">
        <f>#REF!*I$662</f>
        <v>#REF!</v>
      </c>
      <c r="I709" s="31">
        <f>(E709)*I$662</f>
        <v>8.19</v>
      </c>
      <c r="J709" s="31">
        <f>(D709+D709)*I$662</f>
        <v>35.559999999999995</v>
      </c>
      <c r="K709" s="114" t="e">
        <f>H709-(I709+J709)</f>
        <v>#REF!</v>
      </c>
      <c r="L709" s="115"/>
      <c r="M709" s="72" t="e">
        <f t="shared" si="27"/>
        <v>#REF!</v>
      </c>
      <c r="O709" s="72"/>
    </row>
    <row r="710" spans="1:15">
      <c r="A710" s="28" t="s">
        <v>301</v>
      </c>
      <c r="C710" s="116" t="s">
        <v>163</v>
      </c>
      <c r="D710" s="134">
        <f>2.225</f>
        <v>2.2250000000000001</v>
      </c>
      <c r="E710" s="118">
        <f>1.4</f>
        <v>1.4</v>
      </c>
      <c r="F710" s="72">
        <f>3.1</f>
        <v>3.1</v>
      </c>
      <c r="G710" s="31"/>
      <c r="H710" s="117" t="e">
        <f>#REF!*I$662</f>
        <v>#REF!</v>
      </c>
      <c r="I710" s="29"/>
      <c r="J710" s="117">
        <f>(D710+E710)*I$662</f>
        <v>10.149999999999999</v>
      </c>
      <c r="L710" s="117" t="e">
        <f>H710-(I710+J710+K710)</f>
        <v>#REF!</v>
      </c>
      <c r="M710" s="72" t="e">
        <f t="shared" si="27"/>
        <v>#REF!</v>
      </c>
      <c r="O710" s="117"/>
    </row>
    <row r="711" spans="1:15">
      <c r="A711" s="28" t="s">
        <v>302</v>
      </c>
      <c r="C711" s="28" t="s">
        <v>294</v>
      </c>
      <c r="D711" s="31">
        <f>6.35</f>
        <v>6.35</v>
      </c>
      <c r="E711" s="124">
        <f>2.925</f>
        <v>2.9249999999999998</v>
      </c>
      <c r="F711" s="72">
        <f>13.6</f>
        <v>13.6</v>
      </c>
      <c r="G711" s="31"/>
      <c r="H711" s="31" t="e">
        <f>#REF!*I$662</f>
        <v>#REF!</v>
      </c>
      <c r="I711" s="31">
        <f>(E711)*I$662</f>
        <v>8.19</v>
      </c>
      <c r="J711" s="31">
        <f>(D711+D711)*I$662</f>
        <v>35.559999999999995</v>
      </c>
      <c r="K711" s="114" t="e">
        <f>H711-(I711+J711)</f>
        <v>#REF!</v>
      </c>
      <c r="L711" s="115"/>
      <c r="M711" s="72" t="e">
        <f t="shared" si="27"/>
        <v>#REF!</v>
      </c>
      <c r="O711" s="72"/>
    </row>
    <row r="712" spans="1:15">
      <c r="A712" s="28" t="s">
        <v>303</v>
      </c>
      <c r="C712" s="116" t="s">
        <v>163</v>
      </c>
      <c r="D712" s="134">
        <f>2.225</f>
        <v>2.2250000000000001</v>
      </c>
      <c r="E712" s="118">
        <f>1.4</f>
        <v>1.4</v>
      </c>
      <c r="F712" s="72">
        <f>3.1</f>
        <v>3.1</v>
      </c>
      <c r="G712" s="31"/>
      <c r="H712" s="117" t="e">
        <f>#REF!*I$662</f>
        <v>#REF!</v>
      </c>
      <c r="I712" s="29"/>
      <c r="J712" s="117">
        <f>(D712+E712)*I$662</f>
        <v>10.149999999999999</v>
      </c>
      <c r="L712" s="117" t="e">
        <f>H712-(I712+J712+K712)</f>
        <v>#REF!</v>
      </c>
      <c r="M712" s="72" t="e">
        <f t="shared" si="27"/>
        <v>#REF!</v>
      </c>
      <c r="O712" s="117"/>
    </row>
    <row r="713" spans="1:15">
      <c r="A713" s="28" t="s">
        <v>304</v>
      </c>
      <c r="C713" s="28" t="s">
        <v>291</v>
      </c>
      <c r="D713" s="31">
        <f>6.35</f>
        <v>6.35</v>
      </c>
      <c r="E713" s="124">
        <f>2.925</f>
        <v>2.9249999999999998</v>
      </c>
      <c r="F713" s="72">
        <f>14.75</f>
        <v>14.75</v>
      </c>
      <c r="G713" s="31"/>
      <c r="H713" s="31" t="e">
        <f>#REF!*I$662</f>
        <v>#REF!</v>
      </c>
      <c r="I713" s="31">
        <f>(E713)*I$662</f>
        <v>8.19</v>
      </c>
      <c r="J713" s="31">
        <f>(D713+D713)*I$662</f>
        <v>35.559999999999995</v>
      </c>
      <c r="K713" s="114" t="e">
        <f>H713-(I713+J713)</f>
        <v>#REF!</v>
      </c>
      <c r="L713" s="115"/>
      <c r="M713" s="72" t="e">
        <f t="shared" si="27"/>
        <v>#REF!</v>
      </c>
      <c r="O713" s="72"/>
    </row>
    <row r="714" spans="1:15">
      <c r="A714" s="28" t="s">
        <v>305</v>
      </c>
      <c r="C714" s="116" t="s">
        <v>163</v>
      </c>
      <c r="D714" s="134">
        <f>2.225</f>
        <v>2.2250000000000001</v>
      </c>
      <c r="E714" s="118">
        <f>1.4</f>
        <v>1.4</v>
      </c>
      <c r="F714" s="72">
        <f>3.1</f>
        <v>3.1</v>
      </c>
      <c r="G714" s="31"/>
      <c r="H714" s="117" t="e">
        <f>#REF!*I$662</f>
        <v>#REF!</v>
      </c>
      <c r="I714" s="29"/>
      <c r="J714" s="117">
        <f>(D714+E714)*I$662</f>
        <v>10.149999999999999</v>
      </c>
      <c r="L714" s="117" t="e">
        <f>H714-(I714+J714+K714)</f>
        <v>#REF!</v>
      </c>
      <c r="M714" s="72" t="e">
        <f t="shared" si="27"/>
        <v>#REF!</v>
      </c>
      <c r="O714" s="117"/>
    </row>
    <row r="715" spans="1:15">
      <c r="A715" s="28" t="s">
        <v>306</v>
      </c>
      <c r="C715" s="28" t="s">
        <v>291</v>
      </c>
      <c r="D715" s="31">
        <f>6.35</f>
        <v>6.35</v>
      </c>
      <c r="E715" s="124">
        <f>2.925</f>
        <v>2.9249999999999998</v>
      </c>
      <c r="F715" s="72">
        <f>14.75</f>
        <v>14.75</v>
      </c>
      <c r="G715" s="31"/>
      <c r="H715" s="31" t="e">
        <f>#REF!*I$662</f>
        <v>#REF!</v>
      </c>
      <c r="I715" s="31">
        <f>(E715)*I$662</f>
        <v>8.19</v>
      </c>
      <c r="J715" s="31">
        <f>(D715+D715)*I$662</f>
        <v>35.559999999999995</v>
      </c>
      <c r="K715" s="114" t="e">
        <f>H715-(I715+J715)</f>
        <v>#REF!</v>
      </c>
      <c r="L715" s="115"/>
      <c r="M715" s="72" t="e">
        <f t="shared" si="27"/>
        <v>#REF!</v>
      </c>
      <c r="O715" s="72"/>
    </row>
    <row r="716" spans="1:15">
      <c r="A716" s="28" t="s">
        <v>307</v>
      </c>
      <c r="C716" s="116" t="s">
        <v>163</v>
      </c>
      <c r="D716" s="134">
        <f>2.225</f>
        <v>2.2250000000000001</v>
      </c>
      <c r="E716" s="118">
        <f>1.4</f>
        <v>1.4</v>
      </c>
      <c r="F716" s="72">
        <f>3.1</f>
        <v>3.1</v>
      </c>
      <c r="G716" s="31"/>
      <c r="H716" s="117" t="e">
        <f>#REF!*I$662</f>
        <v>#REF!</v>
      </c>
      <c r="I716" s="29"/>
      <c r="J716" s="117">
        <f>(D716+E716)*I$662</f>
        <v>10.149999999999999</v>
      </c>
      <c r="L716" s="117" t="e">
        <f>H716-(I716+J716+K716)</f>
        <v>#REF!</v>
      </c>
      <c r="M716" s="72" t="e">
        <f t="shared" si="27"/>
        <v>#REF!</v>
      </c>
      <c r="O716" s="117"/>
    </row>
    <row r="717" spans="1:15">
      <c r="A717" s="28" t="s">
        <v>308</v>
      </c>
      <c r="C717" s="28" t="s">
        <v>291</v>
      </c>
      <c r="D717" s="31">
        <f>6.35</f>
        <v>6.35</v>
      </c>
      <c r="E717" s="124">
        <f>2.925</f>
        <v>2.9249999999999998</v>
      </c>
      <c r="F717" s="72">
        <f>14.75</f>
        <v>14.75</v>
      </c>
      <c r="G717" s="31"/>
      <c r="H717" s="31" t="e">
        <f>#REF!*I$662</f>
        <v>#REF!</v>
      </c>
      <c r="I717" s="31">
        <f>(E717)*I$662</f>
        <v>8.19</v>
      </c>
      <c r="J717" s="31">
        <f>(D717+D717)*I$662</f>
        <v>35.559999999999995</v>
      </c>
      <c r="K717" s="114" t="e">
        <f>H717-(I717+J717)</f>
        <v>#REF!</v>
      </c>
      <c r="L717" s="115"/>
      <c r="M717" s="72" t="e">
        <f t="shared" si="27"/>
        <v>#REF!</v>
      </c>
      <c r="O717" s="72"/>
    </row>
    <row r="718" spans="1:15">
      <c r="A718" s="28" t="s">
        <v>309</v>
      </c>
      <c r="C718" s="116" t="s">
        <v>163</v>
      </c>
      <c r="D718" s="134">
        <f>2.225</f>
        <v>2.2250000000000001</v>
      </c>
      <c r="E718" s="118">
        <f>1.4</f>
        <v>1.4</v>
      </c>
      <c r="F718" s="72">
        <f>3.1</f>
        <v>3.1</v>
      </c>
      <c r="G718" s="31"/>
      <c r="H718" s="117" t="e">
        <f>#REF!*I$662</f>
        <v>#REF!</v>
      </c>
      <c r="I718" s="29"/>
      <c r="J718" s="117">
        <f>(D718+E718)*I$662</f>
        <v>10.149999999999999</v>
      </c>
      <c r="L718" s="117" t="e">
        <f>H718-(I718+J718+K718)</f>
        <v>#REF!</v>
      </c>
      <c r="M718" s="72" t="e">
        <f t="shared" si="27"/>
        <v>#REF!</v>
      </c>
      <c r="O718" s="117"/>
    </row>
    <row r="719" spans="1:15">
      <c r="A719" s="28" t="s">
        <v>310</v>
      </c>
      <c r="C719" s="28" t="s">
        <v>291</v>
      </c>
      <c r="D719" s="31">
        <f>6.35</f>
        <v>6.35</v>
      </c>
      <c r="E719" s="124">
        <f>2.925</f>
        <v>2.9249999999999998</v>
      </c>
      <c r="F719" s="72">
        <f>14.75</f>
        <v>14.75</v>
      </c>
      <c r="G719" s="31"/>
      <c r="H719" s="31" t="e">
        <f>#REF!*I$662</f>
        <v>#REF!</v>
      </c>
      <c r="I719" s="31">
        <f>(E719)*I$662</f>
        <v>8.19</v>
      </c>
      <c r="J719" s="31">
        <f>(D719+D719)*I$662</f>
        <v>35.559999999999995</v>
      </c>
      <c r="K719" s="114" t="e">
        <f>H719-(I719+J719)</f>
        <v>#REF!</v>
      </c>
      <c r="L719" s="115"/>
      <c r="M719" s="72" t="e">
        <f t="shared" si="27"/>
        <v>#REF!</v>
      </c>
      <c r="O719" s="72"/>
    </row>
    <row r="720" spans="1:15">
      <c r="A720" s="28" t="s">
        <v>311</v>
      </c>
      <c r="C720" s="116" t="s">
        <v>163</v>
      </c>
      <c r="D720" s="134">
        <f>2.225</f>
        <v>2.2250000000000001</v>
      </c>
      <c r="E720" s="118">
        <f>1.4</f>
        <v>1.4</v>
      </c>
      <c r="F720" s="72">
        <f>3.1</f>
        <v>3.1</v>
      </c>
      <c r="G720" s="31"/>
      <c r="H720" s="117" t="e">
        <f>#REF!*I$662</f>
        <v>#REF!</v>
      </c>
      <c r="I720" s="29"/>
      <c r="J720" s="117">
        <f>(D720+E720)*I$662</f>
        <v>10.149999999999999</v>
      </c>
      <c r="L720" s="117" t="e">
        <f>H720-(I720+J720+K720)</f>
        <v>#REF!</v>
      </c>
      <c r="M720" s="72" t="e">
        <f t="shared" si="27"/>
        <v>#REF!</v>
      </c>
      <c r="O720" s="117"/>
    </row>
    <row r="721" spans="1:15">
      <c r="A721" s="28" t="s">
        <v>312</v>
      </c>
      <c r="C721" s="28" t="s">
        <v>313</v>
      </c>
      <c r="D721" s="31">
        <f>3.2</f>
        <v>3.2</v>
      </c>
      <c r="E721" s="73">
        <f>0.6</f>
        <v>0.6</v>
      </c>
      <c r="F721" s="72">
        <f>1.9</f>
        <v>1.9</v>
      </c>
      <c r="G721" s="31"/>
      <c r="H721" s="31" t="e">
        <f>#REF!*I$662</f>
        <v>#REF!</v>
      </c>
      <c r="I721" s="31">
        <f>(E721)*I$662</f>
        <v>1.68</v>
      </c>
      <c r="J721" s="31">
        <f>(D721+D721)*I$662</f>
        <v>17.919999999999998</v>
      </c>
      <c r="K721" s="114" t="e">
        <f>H721-(I721+J721)</f>
        <v>#REF!</v>
      </c>
      <c r="L721" s="115"/>
      <c r="M721" s="72" t="e">
        <f t="shared" si="27"/>
        <v>#REF!</v>
      </c>
      <c r="O721" s="72"/>
    </row>
    <row r="722" spans="1:15">
      <c r="A722" s="29"/>
      <c r="B722" s="29"/>
      <c r="C722" s="107" t="s">
        <v>314</v>
      </c>
      <c r="D722" s="29"/>
      <c r="E722" s="29"/>
      <c r="H722" s="29"/>
      <c r="I722" s="29"/>
      <c r="M722" s="72">
        <f t="shared" si="27"/>
        <v>0</v>
      </c>
    </row>
    <row r="723" spans="1:15">
      <c r="A723" s="28" t="s">
        <v>315</v>
      </c>
      <c r="C723" s="116" t="s">
        <v>275</v>
      </c>
      <c r="D723" s="117">
        <f>4.32</f>
        <v>4.32</v>
      </c>
      <c r="E723" s="122">
        <f>2.825</f>
        <v>2.8250000000000002</v>
      </c>
      <c r="F723" s="31">
        <f>12.2</f>
        <v>12.2</v>
      </c>
      <c r="G723" s="31"/>
      <c r="H723" s="117" t="e">
        <f>#REF!*I$662</f>
        <v>#REF!</v>
      </c>
      <c r="I723" s="117" t="e">
        <f>(E723)*#REF!</f>
        <v>#REF!</v>
      </c>
      <c r="J723" s="117">
        <f>(D723+D723)*I$662</f>
        <v>24.192</v>
      </c>
      <c r="K723" s="114"/>
      <c r="L723" s="117" t="e">
        <f>H723-(I723+J723+K723)</f>
        <v>#REF!</v>
      </c>
      <c r="M723" s="72" t="e">
        <f t="shared" si="27"/>
        <v>#REF!</v>
      </c>
      <c r="O723" s="72"/>
    </row>
    <row r="724" spans="1:15">
      <c r="A724" s="28" t="s">
        <v>316</v>
      </c>
      <c r="C724" s="28" t="s">
        <v>282</v>
      </c>
      <c r="D724" s="73">
        <f>6.2</f>
        <v>6.2</v>
      </c>
      <c r="E724" s="73">
        <f>6</f>
        <v>6</v>
      </c>
      <c r="F724" s="72">
        <f>26</f>
        <v>26</v>
      </c>
      <c r="G724" s="31"/>
      <c r="H724" s="31" t="e">
        <f>#REF!*I$662</f>
        <v>#REF!</v>
      </c>
      <c r="I724" s="31">
        <f>(E724)*I$662</f>
        <v>16.799999999999997</v>
      </c>
      <c r="J724" s="31">
        <f>(D724+D724)*I$662</f>
        <v>34.72</v>
      </c>
      <c r="K724" s="114" t="e">
        <f>H724-(I724+J724)</f>
        <v>#REF!</v>
      </c>
      <c r="L724" s="115"/>
      <c r="M724" s="72" t="e">
        <f t="shared" si="27"/>
        <v>#REF!</v>
      </c>
      <c r="O724" s="72"/>
    </row>
    <row r="725" spans="1:15">
      <c r="A725" s="28" t="s">
        <v>317</v>
      </c>
      <c r="C725" s="116" t="s">
        <v>163</v>
      </c>
      <c r="D725" s="117">
        <f>2.85</f>
        <v>2.85</v>
      </c>
      <c r="E725" s="118">
        <f>2.2</f>
        <v>2.2000000000000002</v>
      </c>
      <c r="F725" s="72">
        <f>6.3</f>
        <v>6.3</v>
      </c>
      <c r="G725" s="31"/>
      <c r="H725" s="117" t="e">
        <f>#REF!*I$662</f>
        <v>#REF!</v>
      </c>
      <c r="I725" s="29"/>
      <c r="J725" s="117">
        <f>(D725+E725)*I$662</f>
        <v>14.14</v>
      </c>
      <c r="L725" s="117" t="e">
        <f>H725-(I725+J725+K725)</f>
        <v>#REF!</v>
      </c>
      <c r="M725" s="72" t="e">
        <f t="shared" si="27"/>
        <v>#REF!</v>
      </c>
      <c r="O725" s="117"/>
    </row>
    <row r="726" spans="1:15">
      <c r="A726" s="28" t="s">
        <v>318</v>
      </c>
      <c r="C726" s="28" t="s">
        <v>291</v>
      </c>
      <c r="D726" s="73">
        <f>6.2</f>
        <v>6.2</v>
      </c>
      <c r="E726" s="124">
        <f>2.925</f>
        <v>2.9249999999999998</v>
      </c>
      <c r="F726" s="72">
        <f>14.75</f>
        <v>14.75</v>
      </c>
      <c r="G726" s="31"/>
      <c r="H726" s="31" t="e">
        <f>#REF!*I$662</f>
        <v>#REF!</v>
      </c>
      <c r="I726" s="31">
        <f>(E726)*I$662</f>
        <v>8.19</v>
      </c>
      <c r="J726" s="31">
        <f>(D726+D726)*I$662</f>
        <v>34.72</v>
      </c>
      <c r="K726" s="114" t="e">
        <f>H726-(I726+J726)</f>
        <v>#REF!</v>
      </c>
      <c r="L726" s="115"/>
      <c r="M726" s="72" t="e">
        <f t="shared" si="27"/>
        <v>#REF!</v>
      </c>
      <c r="O726" s="72"/>
    </row>
    <row r="727" spans="1:15">
      <c r="A727" s="28" t="s">
        <v>319</v>
      </c>
      <c r="C727" s="116" t="s">
        <v>163</v>
      </c>
      <c r="D727" s="134">
        <f>2.225</f>
        <v>2.2250000000000001</v>
      </c>
      <c r="E727" s="118">
        <f>1.4</f>
        <v>1.4</v>
      </c>
      <c r="F727" s="72">
        <f>3.1</f>
        <v>3.1</v>
      </c>
      <c r="G727" s="31"/>
      <c r="H727" s="117" t="e">
        <f>#REF!*I$662</f>
        <v>#REF!</v>
      </c>
      <c r="I727" s="29"/>
      <c r="J727" s="117">
        <f>(D727+E727)*I$662</f>
        <v>10.149999999999999</v>
      </c>
      <c r="L727" s="117" t="e">
        <f>H727-(I727+J727+K727)</f>
        <v>#REF!</v>
      </c>
      <c r="M727" s="72" t="e">
        <f t="shared" si="27"/>
        <v>#REF!</v>
      </c>
      <c r="O727" s="117"/>
    </row>
    <row r="728" spans="1:15">
      <c r="A728" s="28" t="s">
        <v>320</v>
      </c>
      <c r="C728" s="28" t="s">
        <v>294</v>
      </c>
      <c r="D728" s="73">
        <f>6.2</f>
        <v>6.2</v>
      </c>
      <c r="E728" s="124">
        <f>2.925</f>
        <v>2.9249999999999998</v>
      </c>
      <c r="F728" s="72">
        <f>14.75</f>
        <v>14.75</v>
      </c>
      <c r="G728" s="31"/>
      <c r="H728" s="31" t="e">
        <f>#REF!*I$662</f>
        <v>#REF!</v>
      </c>
      <c r="I728" s="31">
        <f>(E728)*I$662</f>
        <v>8.19</v>
      </c>
      <c r="J728" s="31">
        <f>(D728+D728)*I$662</f>
        <v>34.72</v>
      </c>
      <c r="K728" s="114" t="e">
        <f>H728-(I728+J728)</f>
        <v>#REF!</v>
      </c>
      <c r="L728" s="115"/>
      <c r="M728" s="72" t="e">
        <f t="shared" si="27"/>
        <v>#REF!</v>
      </c>
      <c r="O728" s="72"/>
    </row>
    <row r="729" spans="1:15">
      <c r="A729" s="28" t="s">
        <v>321</v>
      </c>
      <c r="C729" s="116" t="s">
        <v>163</v>
      </c>
      <c r="D729" s="134">
        <f>2.225</f>
        <v>2.2250000000000001</v>
      </c>
      <c r="E729" s="118">
        <f>1.4</f>
        <v>1.4</v>
      </c>
      <c r="F729" s="72">
        <f>3.1</f>
        <v>3.1</v>
      </c>
      <c r="G729" s="31"/>
      <c r="H729" s="117" t="e">
        <f>#REF!*I$662</f>
        <v>#REF!</v>
      </c>
      <c r="I729" s="29"/>
      <c r="J729" s="117">
        <f>(D729+E729)*I$662</f>
        <v>10.149999999999999</v>
      </c>
      <c r="L729" s="117" t="e">
        <f>H729-(I729+J729+K729)</f>
        <v>#REF!</v>
      </c>
      <c r="M729" s="72" t="e">
        <f t="shared" si="27"/>
        <v>#REF!</v>
      </c>
      <c r="O729" s="117"/>
    </row>
    <row r="730" spans="1:15">
      <c r="A730" s="28" t="s">
        <v>322</v>
      </c>
      <c r="C730" s="28" t="s">
        <v>291</v>
      </c>
      <c r="D730" s="73">
        <f>6.2</f>
        <v>6.2</v>
      </c>
      <c r="E730" s="124">
        <f>2.925</f>
        <v>2.9249999999999998</v>
      </c>
      <c r="F730" s="72">
        <f>14.75</f>
        <v>14.75</v>
      </c>
      <c r="G730" s="31"/>
      <c r="H730" s="31" t="e">
        <f>#REF!*I$662</f>
        <v>#REF!</v>
      </c>
      <c r="I730" s="31">
        <f>(E730)*I$662</f>
        <v>8.19</v>
      </c>
      <c r="J730" s="31">
        <f>(D730+D730)*I$662</f>
        <v>34.72</v>
      </c>
      <c r="K730" s="114" t="e">
        <f>H730-(I730+J730)</f>
        <v>#REF!</v>
      </c>
      <c r="L730" s="115"/>
      <c r="M730" s="72" t="e">
        <f t="shared" si="27"/>
        <v>#REF!</v>
      </c>
      <c r="O730" s="72"/>
    </row>
    <row r="731" spans="1:15">
      <c r="A731" s="28" t="s">
        <v>323</v>
      </c>
      <c r="C731" s="116" t="s">
        <v>163</v>
      </c>
      <c r="D731" s="134">
        <f>2.225</f>
        <v>2.2250000000000001</v>
      </c>
      <c r="E731" s="118">
        <f>1.4</f>
        <v>1.4</v>
      </c>
      <c r="F731" s="72">
        <f>3.1</f>
        <v>3.1</v>
      </c>
      <c r="G731" s="31"/>
      <c r="H731" s="117" t="e">
        <f>#REF!*I$662</f>
        <v>#REF!</v>
      </c>
      <c r="I731" s="29"/>
      <c r="J731" s="117">
        <f>(D731+E731)*I$662</f>
        <v>10.149999999999999</v>
      </c>
      <c r="L731" s="117" t="e">
        <f>H731-(I731+J731+K731)</f>
        <v>#REF!</v>
      </c>
      <c r="M731" s="72" t="e">
        <f t="shared" si="27"/>
        <v>#REF!</v>
      </c>
      <c r="O731" s="117"/>
    </row>
    <row r="732" spans="1:15">
      <c r="A732" s="28" t="s">
        <v>324</v>
      </c>
      <c r="C732" s="28" t="s">
        <v>294</v>
      </c>
      <c r="D732" s="73">
        <f>6.2</f>
        <v>6.2</v>
      </c>
      <c r="E732" s="124">
        <f>2.925</f>
        <v>2.9249999999999998</v>
      </c>
      <c r="F732" s="72">
        <f>14.75</f>
        <v>14.75</v>
      </c>
      <c r="G732" s="31"/>
      <c r="H732" s="31" t="e">
        <f>#REF!*I$662</f>
        <v>#REF!</v>
      </c>
      <c r="I732" s="31">
        <f>(E732)*I$662</f>
        <v>8.19</v>
      </c>
      <c r="J732" s="31">
        <f>(D732+D732)*I$662</f>
        <v>34.72</v>
      </c>
      <c r="K732" s="114" t="e">
        <f>H732-(I732+J732)</f>
        <v>#REF!</v>
      </c>
      <c r="L732" s="115"/>
      <c r="M732" s="72" t="e">
        <f t="shared" si="27"/>
        <v>#REF!</v>
      </c>
      <c r="O732" s="72"/>
    </row>
    <row r="733" spans="1:15">
      <c r="A733" s="28" t="s">
        <v>325</v>
      </c>
      <c r="C733" s="116" t="s">
        <v>163</v>
      </c>
      <c r="D733" s="134">
        <f>2.225</f>
        <v>2.2250000000000001</v>
      </c>
      <c r="E733" s="118">
        <f>1.4</f>
        <v>1.4</v>
      </c>
      <c r="F733" s="72">
        <f>3.1</f>
        <v>3.1</v>
      </c>
      <c r="G733" s="31"/>
      <c r="H733" s="117" t="e">
        <f>#REF!*I$662</f>
        <v>#REF!</v>
      </c>
      <c r="I733" s="29"/>
      <c r="J733" s="117">
        <f>(D733+E733)*I$662</f>
        <v>10.149999999999999</v>
      </c>
      <c r="L733" s="117" t="e">
        <f>H733-(I733+J733+K733)</f>
        <v>#REF!</v>
      </c>
      <c r="M733" s="72" t="e">
        <f t="shared" si="27"/>
        <v>#REF!</v>
      </c>
      <c r="O733" s="117"/>
    </row>
    <row r="734" spans="1:15">
      <c r="A734" s="28" t="s">
        <v>326</v>
      </c>
      <c r="C734" s="28" t="s">
        <v>294</v>
      </c>
      <c r="D734" s="73">
        <f>6.2</f>
        <v>6.2</v>
      </c>
      <c r="E734" s="124">
        <f>2.925</f>
        <v>2.9249999999999998</v>
      </c>
      <c r="F734" s="72">
        <f>13.75</f>
        <v>13.75</v>
      </c>
      <c r="G734" s="31"/>
      <c r="H734" s="31" t="e">
        <f>#REF!*I$662</f>
        <v>#REF!</v>
      </c>
      <c r="I734" s="31">
        <f>(E734)*I$662</f>
        <v>8.19</v>
      </c>
      <c r="J734" s="31">
        <f>(D734+D734)*I$662</f>
        <v>34.72</v>
      </c>
      <c r="K734" s="114" t="e">
        <f>H734-(I734+J734)</f>
        <v>#REF!</v>
      </c>
      <c r="L734" s="115"/>
      <c r="M734" s="72" t="e">
        <f t="shared" si="27"/>
        <v>#REF!</v>
      </c>
      <c r="O734" s="72"/>
    </row>
    <row r="735" spans="1:15">
      <c r="A735" s="28" t="s">
        <v>327</v>
      </c>
      <c r="C735" s="116" t="s">
        <v>163</v>
      </c>
      <c r="D735" s="134">
        <f>2.225</f>
        <v>2.2250000000000001</v>
      </c>
      <c r="E735" s="118">
        <f>1.4</f>
        <v>1.4</v>
      </c>
      <c r="F735" s="72">
        <f>3.1</f>
        <v>3.1</v>
      </c>
      <c r="G735" s="31"/>
      <c r="H735" s="117" t="e">
        <f>#REF!*I$662</f>
        <v>#REF!</v>
      </c>
      <c r="I735" s="29"/>
      <c r="J735" s="117">
        <f>(D735+E735)*I$662</f>
        <v>10.149999999999999</v>
      </c>
      <c r="L735" s="117" t="e">
        <f>H735-(I735+J735+K735)</f>
        <v>#REF!</v>
      </c>
      <c r="M735" s="72" t="e">
        <f t="shared" si="27"/>
        <v>#REF!</v>
      </c>
      <c r="O735" s="117"/>
    </row>
    <row r="736" spans="1:15">
      <c r="A736" s="28" t="s">
        <v>328</v>
      </c>
      <c r="C736" s="28" t="s">
        <v>294</v>
      </c>
      <c r="D736" s="73">
        <f>6.2</f>
        <v>6.2</v>
      </c>
      <c r="E736" s="124">
        <f>2.925</f>
        <v>2.9249999999999998</v>
      </c>
      <c r="F736" s="72">
        <f>13.75</f>
        <v>13.75</v>
      </c>
      <c r="G736" s="31"/>
      <c r="H736" s="31" t="e">
        <f>#REF!*I$662</f>
        <v>#REF!</v>
      </c>
      <c r="I736" s="31">
        <f>(E736)*I$662</f>
        <v>8.19</v>
      </c>
      <c r="J736" s="31">
        <f>(D736+D736)*I$662</f>
        <v>34.72</v>
      </c>
      <c r="K736" s="114" t="e">
        <f>H736-(I736+J736)</f>
        <v>#REF!</v>
      </c>
      <c r="L736" s="115"/>
      <c r="M736" s="72" t="e">
        <f t="shared" ref="M736:M748" si="28">H736-(I736+J736+K736+L736)</f>
        <v>#REF!</v>
      </c>
      <c r="O736" s="72"/>
    </row>
    <row r="737" spans="1:16">
      <c r="A737" s="28" t="s">
        <v>329</v>
      </c>
      <c r="C737" s="116" t="s">
        <v>163</v>
      </c>
      <c r="D737" s="134">
        <f>2.225</f>
        <v>2.2250000000000001</v>
      </c>
      <c r="E737" s="118">
        <f>1.4</f>
        <v>1.4</v>
      </c>
      <c r="F737" s="72">
        <f>3.1</f>
        <v>3.1</v>
      </c>
      <c r="G737" s="31"/>
      <c r="H737" s="117" t="e">
        <f>#REF!*I$662</f>
        <v>#REF!</v>
      </c>
      <c r="I737" s="29"/>
      <c r="J737" s="117">
        <f>(D737+E737)*I$662</f>
        <v>10.149999999999999</v>
      </c>
      <c r="L737" s="117" t="e">
        <f>H737-(I737+J737+K737)</f>
        <v>#REF!</v>
      </c>
      <c r="M737" s="72" t="e">
        <f t="shared" si="28"/>
        <v>#REF!</v>
      </c>
      <c r="O737" s="117"/>
    </row>
    <row r="738" spans="1:16">
      <c r="A738" s="28" t="s">
        <v>330</v>
      </c>
      <c r="C738" s="28" t="s">
        <v>282</v>
      </c>
      <c r="D738" s="73">
        <f>6.2</f>
        <v>6.2</v>
      </c>
      <c r="E738" s="73">
        <f>4.5</f>
        <v>4.5</v>
      </c>
      <c r="F738" s="72">
        <f>23.9</f>
        <v>23.9</v>
      </c>
      <c r="G738" s="31"/>
      <c r="H738" s="31" t="e">
        <f>#REF!*I$662</f>
        <v>#REF!</v>
      </c>
      <c r="I738" s="31">
        <f>(E738)*I$662</f>
        <v>12.6</v>
      </c>
      <c r="J738" s="31">
        <f>(D738+D738)*I$662</f>
        <v>34.72</v>
      </c>
      <c r="K738" s="114" t="e">
        <f>H738-(I738+J738)</f>
        <v>#REF!</v>
      </c>
      <c r="L738" s="115"/>
      <c r="M738" s="72" t="e">
        <f t="shared" si="28"/>
        <v>#REF!</v>
      </c>
      <c r="O738" s="72"/>
    </row>
    <row r="739" spans="1:16">
      <c r="A739" s="28" t="s">
        <v>331</v>
      </c>
      <c r="C739" s="116" t="s">
        <v>163</v>
      </c>
      <c r="D739" s="134">
        <f>2.225</f>
        <v>2.2250000000000001</v>
      </c>
      <c r="E739" s="118">
        <f>1.8</f>
        <v>1.8</v>
      </c>
      <c r="F739" s="72">
        <f>4</f>
        <v>4</v>
      </c>
      <c r="G739" s="31"/>
      <c r="H739" s="117" t="e">
        <f>#REF!*I$662</f>
        <v>#REF!</v>
      </c>
      <c r="I739" s="29"/>
      <c r="J739" s="117">
        <f>(D739+E739)*I$662</f>
        <v>11.27</v>
      </c>
      <c r="L739" s="117" t="e">
        <f>H739-(I739+J739+K739)</f>
        <v>#REF!</v>
      </c>
      <c r="M739" s="72" t="e">
        <f t="shared" si="28"/>
        <v>#REF!</v>
      </c>
      <c r="O739" s="117"/>
    </row>
    <row r="740" spans="1:16">
      <c r="A740" s="28" t="s">
        <v>332</v>
      </c>
      <c r="C740" s="28" t="s">
        <v>282</v>
      </c>
      <c r="D740" s="73">
        <f>6.2</f>
        <v>6.2</v>
      </c>
      <c r="E740" s="73">
        <f>4.5</f>
        <v>4.5</v>
      </c>
      <c r="F740" s="72">
        <f>24</f>
        <v>24</v>
      </c>
      <c r="G740" s="31"/>
      <c r="H740" s="31" t="e">
        <f>#REF!*I$662</f>
        <v>#REF!</v>
      </c>
      <c r="I740" s="31">
        <f>(E740)*I$662</f>
        <v>12.6</v>
      </c>
      <c r="J740" s="31">
        <f>(D740+D740)*I$662</f>
        <v>34.72</v>
      </c>
      <c r="K740" s="114" t="e">
        <f>H740-(I740+J740)</f>
        <v>#REF!</v>
      </c>
      <c r="L740" s="115"/>
      <c r="M740" s="72" t="e">
        <f t="shared" si="28"/>
        <v>#REF!</v>
      </c>
      <c r="O740" s="72"/>
    </row>
    <row r="741" spans="1:16">
      <c r="A741" s="28" t="s">
        <v>333</v>
      </c>
      <c r="C741" s="116" t="s">
        <v>163</v>
      </c>
      <c r="D741" s="134">
        <f>2.225</f>
        <v>2.2250000000000001</v>
      </c>
      <c r="E741" s="118">
        <f>1.8</f>
        <v>1.8</v>
      </c>
      <c r="F741" s="72">
        <f>4</f>
        <v>4</v>
      </c>
      <c r="G741" s="31"/>
      <c r="H741" s="117" t="e">
        <f>#REF!*I$662</f>
        <v>#REF!</v>
      </c>
      <c r="I741" s="29"/>
      <c r="J741" s="117">
        <f>(D741+E741)*I$662</f>
        <v>11.27</v>
      </c>
      <c r="L741" s="117" t="e">
        <f>H741-(I741+J741+K741)</f>
        <v>#REF!</v>
      </c>
      <c r="M741" s="72" t="e">
        <f t="shared" si="28"/>
        <v>#REF!</v>
      </c>
      <c r="O741" s="117"/>
    </row>
    <row r="742" spans="1:16">
      <c r="A742" s="28" t="s">
        <v>334</v>
      </c>
      <c r="C742" s="28" t="s">
        <v>282</v>
      </c>
      <c r="D742" s="73">
        <f>6.2</f>
        <v>6.2</v>
      </c>
      <c r="E742" s="73">
        <f>4.5</f>
        <v>4.5</v>
      </c>
      <c r="F742" s="72">
        <f>24</f>
        <v>24</v>
      </c>
      <c r="G742" s="31"/>
      <c r="H742" s="31" t="e">
        <f>#REF!*I$662</f>
        <v>#REF!</v>
      </c>
      <c r="I742" s="31">
        <f>(E742)*I$662</f>
        <v>12.6</v>
      </c>
      <c r="J742" s="31">
        <f>(D742+D742)*I$662</f>
        <v>34.72</v>
      </c>
      <c r="K742" s="114" t="e">
        <f>H742-(I742+J742)</f>
        <v>#REF!</v>
      </c>
      <c r="L742" s="115"/>
      <c r="M742" s="72" t="e">
        <f t="shared" si="28"/>
        <v>#REF!</v>
      </c>
      <c r="O742" s="72"/>
    </row>
    <row r="743" spans="1:16">
      <c r="A743" s="28" t="s">
        <v>335</v>
      </c>
      <c r="C743" s="116" t="s">
        <v>163</v>
      </c>
      <c r="D743" s="134">
        <f>2.225</f>
        <v>2.2250000000000001</v>
      </c>
      <c r="E743" s="118">
        <f>1.8</f>
        <v>1.8</v>
      </c>
      <c r="F743" s="72">
        <f>4</f>
        <v>4</v>
      </c>
      <c r="G743" s="31"/>
      <c r="H743" s="117" t="e">
        <f>#REF!*I$662</f>
        <v>#REF!</v>
      </c>
      <c r="I743" s="29"/>
      <c r="J743" s="117">
        <f>(D743+E743)*I$662</f>
        <v>11.27</v>
      </c>
      <c r="L743" s="117" t="e">
        <f>H743-(I743+J743+K743)</f>
        <v>#REF!</v>
      </c>
      <c r="M743" s="72" t="e">
        <f t="shared" si="28"/>
        <v>#REF!</v>
      </c>
      <c r="O743" s="117"/>
    </row>
    <row r="744" spans="1:16">
      <c r="A744" s="28" t="s">
        <v>336</v>
      </c>
      <c r="C744" s="28" t="s">
        <v>282</v>
      </c>
      <c r="D744" s="73">
        <f>6.2</f>
        <v>6.2</v>
      </c>
      <c r="E744" s="73">
        <f>4.5</f>
        <v>4.5</v>
      </c>
      <c r="F744" s="72">
        <f>24</f>
        <v>24</v>
      </c>
      <c r="G744" s="31"/>
      <c r="H744" s="31" t="e">
        <f>#REF!*I$662</f>
        <v>#REF!</v>
      </c>
      <c r="I744" s="31">
        <f>(E744)*I$662</f>
        <v>12.6</v>
      </c>
      <c r="J744" s="31">
        <f>(D744+D744)*I$662</f>
        <v>34.72</v>
      </c>
      <c r="K744" s="114" t="e">
        <f>H744-(I744+J744)</f>
        <v>#REF!</v>
      </c>
      <c r="L744" s="115"/>
      <c r="M744" s="72" t="e">
        <f t="shared" si="28"/>
        <v>#REF!</v>
      </c>
      <c r="O744" s="72"/>
    </row>
    <row r="745" spans="1:16">
      <c r="A745" s="28" t="s">
        <v>337</v>
      </c>
      <c r="C745" s="116" t="s">
        <v>163</v>
      </c>
      <c r="D745" s="134">
        <f>2.225</f>
        <v>2.2250000000000001</v>
      </c>
      <c r="E745" s="118">
        <f>1.8</f>
        <v>1.8</v>
      </c>
      <c r="F745" s="72">
        <f>4</f>
        <v>4</v>
      </c>
      <c r="G745" s="31"/>
      <c r="H745" s="117" t="e">
        <f>#REF!*I$662</f>
        <v>#REF!</v>
      </c>
      <c r="I745" s="29"/>
      <c r="J745" s="117">
        <f>(D745+E745)*I$662</f>
        <v>11.27</v>
      </c>
      <c r="L745" s="117" t="e">
        <f>H745-(I745+J745+K745)</f>
        <v>#REF!</v>
      </c>
      <c r="M745" s="72" t="e">
        <f t="shared" si="28"/>
        <v>#REF!</v>
      </c>
      <c r="O745" s="117"/>
    </row>
    <row r="746" spans="1:16">
      <c r="A746" s="28" t="s">
        <v>338</v>
      </c>
      <c r="C746" s="28" t="s">
        <v>282</v>
      </c>
      <c r="D746" s="73">
        <f>6.2</f>
        <v>6.2</v>
      </c>
      <c r="E746" s="73">
        <f>4.5</f>
        <v>4.5</v>
      </c>
      <c r="F746" s="72">
        <f>24</f>
        <v>24</v>
      </c>
      <c r="G746" s="31"/>
      <c r="H746" s="31" t="e">
        <f>#REF!*I$662</f>
        <v>#REF!</v>
      </c>
      <c r="I746" s="31">
        <f>(E746)*I$662</f>
        <v>12.6</v>
      </c>
      <c r="J746" s="31">
        <f>(D746+D746)*I$662</f>
        <v>34.72</v>
      </c>
      <c r="K746" s="114" t="e">
        <f>H746-(I746+J746)</f>
        <v>#REF!</v>
      </c>
      <c r="L746" s="115"/>
      <c r="M746" s="72" t="e">
        <f t="shared" si="28"/>
        <v>#REF!</v>
      </c>
      <c r="O746" s="72"/>
    </row>
    <row r="747" spans="1:16">
      <c r="A747" s="28" t="s">
        <v>339</v>
      </c>
      <c r="C747" s="116" t="s">
        <v>163</v>
      </c>
      <c r="D747" s="134">
        <f>2.225</f>
        <v>2.2250000000000001</v>
      </c>
      <c r="E747" s="118">
        <f>1.8</f>
        <v>1.8</v>
      </c>
      <c r="F747" s="72">
        <f>4</f>
        <v>4</v>
      </c>
      <c r="G747" s="31"/>
      <c r="H747" s="117" t="e">
        <f>#REF!*I$662</f>
        <v>#REF!</v>
      </c>
      <c r="I747" s="29"/>
      <c r="J747" s="117">
        <f>(D747+E747)*I$662</f>
        <v>11.27</v>
      </c>
      <c r="L747" s="117" t="e">
        <f>H747-(I747+J747+K747)</f>
        <v>#REF!</v>
      </c>
      <c r="M747" s="72" t="e">
        <f t="shared" si="28"/>
        <v>#REF!</v>
      </c>
      <c r="O747" s="117"/>
    </row>
    <row r="748" spans="1:16">
      <c r="A748" s="28" t="s">
        <v>340</v>
      </c>
      <c r="C748" s="116" t="s">
        <v>266</v>
      </c>
      <c r="D748" s="117">
        <f>2.85</f>
        <v>2.85</v>
      </c>
      <c r="E748" s="118">
        <f>1.35</f>
        <v>1.35</v>
      </c>
      <c r="F748" s="72">
        <f>4</f>
        <v>4</v>
      </c>
      <c r="G748" s="31"/>
      <c r="H748" s="117" t="e">
        <f>#REF!*I$662</f>
        <v>#REF!</v>
      </c>
      <c r="I748" s="29"/>
      <c r="J748" s="117">
        <f>(D748+E748)*I$662</f>
        <v>11.76</v>
      </c>
      <c r="L748" s="117" t="e">
        <f>H748-(I748+J748+K748)</f>
        <v>#REF!</v>
      </c>
      <c r="M748" s="72" t="e">
        <f t="shared" si="28"/>
        <v>#REF!</v>
      </c>
      <c r="O748" s="117"/>
    </row>
    <row r="749" spans="1:16">
      <c r="A749" s="28" t="s">
        <v>341</v>
      </c>
      <c r="C749" s="28" t="s">
        <v>342</v>
      </c>
      <c r="D749" s="31">
        <f>F749/E749</f>
        <v>1.5</v>
      </c>
      <c r="E749" s="73">
        <f>0.6</f>
        <v>0.6</v>
      </c>
      <c r="F749" s="72">
        <f>0.9</f>
        <v>0.9</v>
      </c>
      <c r="G749" s="31"/>
      <c r="H749" s="31" t="e">
        <f>#REF!*I$662</f>
        <v>#REF!</v>
      </c>
      <c r="I749" s="29"/>
      <c r="J749" s="31">
        <f>D749*I662</f>
        <v>4.1999999999999993</v>
      </c>
      <c r="K749" s="31" t="e">
        <f>H749-(I749+J749)</f>
        <v>#REF!</v>
      </c>
      <c r="M749" s="72"/>
      <c r="O749" s="117"/>
    </row>
    <row r="750" spans="1:16">
      <c r="A750" s="31">
        <f>2*(D750+E750)+(D751*2+E751)+2*(D752+E752)</f>
        <v>224.9</v>
      </c>
      <c r="B750" s="31"/>
      <c r="C750" s="28" t="str">
        <f>C661</f>
        <v>2, stāva plāns AR-13</v>
      </c>
      <c r="D750" s="125">
        <f>65.9</f>
        <v>65.900000000000006</v>
      </c>
      <c r="E750" s="72">
        <f>15.55</f>
        <v>15.55</v>
      </c>
      <c r="F750" s="113">
        <f t="shared" ref="F750:L750" si="29">SUM(F663:F749)</f>
        <v>1132.3000000000006</v>
      </c>
      <c r="G750" s="31"/>
      <c r="H750" s="31" t="e">
        <f t="shared" si="29"/>
        <v>#REF!</v>
      </c>
      <c r="I750" s="135" t="e">
        <f t="shared" si="29"/>
        <v>#REF!</v>
      </c>
      <c r="J750" s="136" t="e">
        <f t="shared" si="29"/>
        <v>#REF!</v>
      </c>
      <c r="K750" s="136" t="e">
        <f t="shared" si="29"/>
        <v>#REF!</v>
      </c>
      <c r="L750" s="137" t="e">
        <f t="shared" si="29"/>
        <v>#REF!</v>
      </c>
      <c r="M750" s="72" t="e">
        <f>H750-(I750+J750+K750+L750)</f>
        <v>#REF!</v>
      </c>
      <c r="O750" s="117"/>
      <c r="P750" s="117"/>
    </row>
    <row r="751" spans="1:16">
      <c r="A751" s="31"/>
      <c r="B751" s="31"/>
      <c r="C751" s="129"/>
      <c r="D751" s="125">
        <f>25</f>
        <v>25</v>
      </c>
      <c r="E751" s="73">
        <f>12</f>
        <v>12</v>
      </c>
      <c r="F751" s="31">
        <f>D750*E750+D751*E751</f>
        <v>1324.7450000000001</v>
      </c>
      <c r="H751" s="81"/>
      <c r="I751" s="81"/>
      <c r="J751" s="81"/>
      <c r="K751" s="109"/>
      <c r="L751" s="115"/>
      <c r="M751" s="72">
        <f>H751-(I751+J751+K751+L751)</f>
        <v>0</v>
      </c>
      <c r="O751" s="117"/>
      <c r="P751" s="117"/>
    </row>
    <row r="752" spans="1:16">
      <c r="A752" s="31"/>
      <c r="B752" s="31"/>
      <c r="D752" s="125"/>
      <c r="E752" s="73"/>
      <c r="F752" s="81">
        <f>F674+F675+F676+F677+F678+F679+F680+F684+F689+F691+F693+F695+F697+F699+F701+F703+F705+F707+F709+F711+F713+F715+F717+F724+F726+F728+F730+F732+F734+F736+F738+F740+F742+F744+F746</f>
        <v>660.8</v>
      </c>
      <c r="G752" s="81"/>
      <c r="H752" s="81"/>
      <c r="I752" s="81"/>
      <c r="J752" s="81"/>
      <c r="K752" s="109"/>
      <c r="L752" s="115"/>
      <c r="M752" s="72">
        <f>H752-(I752+J752+K752+L752)</f>
        <v>0</v>
      </c>
      <c r="O752" s="117"/>
      <c r="P752" s="117"/>
    </row>
    <row r="753" spans="1:16">
      <c r="A753" s="31"/>
      <c r="B753" s="31"/>
      <c r="C753" s="129"/>
      <c r="D753" s="125"/>
      <c r="E753" s="132"/>
      <c r="F753" s="72">
        <f>(F674+F681+F682+F688+F690+F692+F694+F696+F698+F700+F702+F704+F706+F708+F710+F712+F714+F716+F718+F720+F723+F725+F727+F729+F731+F733+F735+F737+F739+F741+F743+F745+F747+F748)</f>
        <v>163.54999999999993</v>
      </c>
      <c r="G753" s="72"/>
      <c r="H753" s="130" t="e">
        <f>(H674+H681+H682+H688+H690+H692+H694+H696+H698+H700+H702+H704+H706+H708+H710+H712+H714+H716+H718+H720+H723+H725+H727+H729+H731+H733+H735+H737+H739+H741+H743+H745+H747+H748)</f>
        <v>#REF!</v>
      </c>
      <c r="I753" s="81"/>
      <c r="J753" s="81"/>
      <c r="K753" s="109"/>
      <c r="L753" s="115"/>
      <c r="M753" s="72"/>
      <c r="O753" s="117"/>
      <c r="P753" s="117"/>
    </row>
    <row r="754" spans="1:16">
      <c r="C754" s="28" t="s">
        <v>343</v>
      </c>
      <c r="E754" s="106"/>
      <c r="F754" s="113"/>
      <c r="I754" s="138">
        <f>3</f>
        <v>3</v>
      </c>
      <c r="M754" s="72"/>
      <c r="O754" s="72"/>
    </row>
    <row r="755" spans="1:16">
      <c r="A755" s="28">
        <f>1</f>
        <v>1</v>
      </c>
      <c r="C755" s="28" t="s">
        <v>253</v>
      </c>
      <c r="D755" s="31">
        <f>5.2</f>
        <v>5.2</v>
      </c>
      <c r="E755" s="73">
        <f>2.75</f>
        <v>2.75</v>
      </c>
      <c r="F755" s="72">
        <f>15.9</f>
        <v>15.9</v>
      </c>
      <c r="G755" s="31"/>
      <c r="H755" s="31" t="e">
        <f>#REF!*I$754</f>
        <v>#REF!</v>
      </c>
      <c r="I755" s="31">
        <f>(D755+E755)*I754</f>
        <v>23.85</v>
      </c>
      <c r="J755" s="31">
        <f>I754*(D755+E755)</f>
        <v>23.85</v>
      </c>
      <c r="L755" s="115"/>
      <c r="M755" s="72" t="e">
        <f t="shared" ref="M755:M762" si="30">H755-(I755+J755+K755+L755)</f>
        <v>#REF!</v>
      </c>
      <c r="O755" s="72"/>
    </row>
    <row r="756" spans="1:16">
      <c r="A756" s="29">
        <f>1+A755</f>
        <v>2</v>
      </c>
      <c r="B756" s="29"/>
      <c r="C756" s="28" t="s">
        <v>344</v>
      </c>
      <c r="D756" s="108">
        <f>65.9</f>
        <v>65.900000000000006</v>
      </c>
      <c r="E756" s="73">
        <f>8.5</f>
        <v>8.5</v>
      </c>
      <c r="F756" s="72">
        <f>476.7</f>
        <v>476.7</v>
      </c>
      <c r="G756" s="31"/>
      <c r="H756" s="31" t="e">
        <f>#REF!*I$754</f>
        <v>#REF!</v>
      </c>
      <c r="I756" s="31" t="e">
        <f>H756</f>
        <v>#REF!</v>
      </c>
      <c r="J756" s="109"/>
      <c r="L756" s="72"/>
      <c r="M756" s="72" t="e">
        <f t="shared" si="30"/>
        <v>#REF!</v>
      </c>
      <c r="O756" s="72"/>
    </row>
    <row r="757" spans="1:16">
      <c r="A757" s="29">
        <f>1+A756</f>
        <v>3</v>
      </c>
      <c r="B757" s="29"/>
      <c r="C757" s="28" t="s">
        <v>345</v>
      </c>
      <c r="D757" s="108">
        <f>8.175</f>
        <v>8.1750000000000007</v>
      </c>
      <c r="E757" s="73">
        <f>5</f>
        <v>5</v>
      </c>
      <c r="F757" s="72">
        <f>46.3</f>
        <v>46.3</v>
      </c>
      <c r="G757" s="31"/>
      <c r="H757" s="31" t="e">
        <f>#REF!*I$754</f>
        <v>#REF!</v>
      </c>
      <c r="J757" s="109"/>
      <c r="K757" s="31">
        <f>2*(D757+E757)*I$754</f>
        <v>79.050000000000011</v>
      </c>
      <c r="M757" s="72" t="e">
        <f t="shared" si="30"/>
        <v>#REF!</v>
      </c>
      <c r="O757" s="72"/>
    </row>
    <row r="758" spans="1:16">
      <c r="A758" s="29">
        <f>1+A757</f>
        <v>4</v>
      </c>
      <c r="B758" s="29"/>
      <c r="C758" s="28" t="s">
        <v>345</v>
      </c>
      <c r="D758" s="108">
        <f>9</f>
        <v>9</v>
      </c>
      <c r="E758" s="73">
        <f>6.35</f>
        <v>6.35</v>
      </c>
      <c r="F758" s="72">
        <f>55.8</f>
        <v>55.8</v>
      </c>
      <c r="G758" s="31"/>
      <c r="H758" s="31" t="e">
        <f>#REF!*I$754</f>
        <v>#REF!</v>
      </c>
      <c r="I758" s="31">
        <f>D758*I754</f>
        <v>27</v>
      </c>
      <c r="J758" s="109"/>
      <c r="K758" s="31">
        <f>(D758+E758+D758)*I$754</f>
        <v>73.050000000000011</v>
      </c>
      <c r="M758" s="72" t="e">
        <f t="shared" si="30"/>
        <v>#REF!</v>
      </c>
    </row>
    <row r="759" spans="1:16">
      <c r="A759" s="29">
        <f>1+A758</f>
        <v>5</v>
      </c>
      <c r="B759" s="29"/>
      <c r="C759" s="28" t="s">
        <v>344</v>
      </c>
      <c r="D759" s="108">
        <f>65.9</f>
        <v>65.900000000000006</v>
      </c>
      <c r="E759" s="73">
        <f>6.2</f>
        <v>6.2</v>
      </c>
      <c r="F759" s="72">
        <f>336.4</f>
        <v>336.4</v>
      </c>
      <c r="G759" s="31"/>
      <c r="H759" s="31" t="e">
        <f>(#REF!+D758-E760)*I$754</f>
        <v>#REF!</v>
      </c>
      <c r="I759" s="31" t="e">
        <f>H759</f>
        <v>#REF!</v>
      </c>
      <c r="J759" s="109"/>
      <c r="M759" s="72" t="e">
        <f t="shared" si="30"/>
        <v>#REF!</v>
      </c>
    </row>
    <row r="760" spans="1:16">
      <c r="A760" s="29">
        <f>1+A759</f>
        <v>6</v>
      </c>
      <c r="B760" s="29"/>
      <c r="C760" s="28" t="s">
        <v>345</v>
      </c>
      <c r="D760" s="31">
        <f>9.45</f>
        <v>9.4499999999999993</v>
      </c>
      <c r="E760" s="73">
        <f>4.9</f>
        <v>4.9000000000000004</v>
      </c>
      <c r="F760" s="72">
        <f>43.9</f>
        <v>43.9</v>
      </c>
      <c r="G760" s="31"/>
      <c r="H760" s="31" t="e">
        <f>#REF!*I$754</f>
        <v>#REF!</v>
      </c>
      <c r="I760" s="31">
        <f>E760*I754</f>
        <v>14.700000000000001</v>
      </c>
      <c r="J760" s="109"/>
      <c r="K760" s="31">
        <f>(D760+E760+D760)*I$754</f>
        <v>71.399999999999991</v>
      </c>
      <c r="M760" s="72" t="e">
        <f t="shared" si="30"/>
        <v>#REF!</v>
      </c>
      <c r="O760" s="72"/>
    </row>
    <row r="761" spans="1:16">
      <c r="A761" s="31">
        <f>2*(D761+E761)+(D762*2+E762)+2*(D763+E763)</f>
        <v>224.9</v>
      </c>
      <c r="B761" s="31"/>
      <c r="C761" s="139" t="str">
        <f>C754</f>
        <v>Bēninu stāva plāns AR-14</v>
      </c>
      <c r="D761" s="125">
        <f>65.9</f>
        <v>65.900000000000006</v>
      </c>
      <c r="E761" s="72">
        <f>15.55</f>
        <v>15.55</v>
      </c>
      <c r="F761" s="31">
        <f>SUM(F754:F760)</f>
        <v>974.99999999999989</v>
      </c>
      <c r="G761" s="31"/>
      <c r="H761" s="31" t="e">
        <f>SUM(I754:I760)</f>
        <v>#REF!</v>
      </c>
      <c r="I761" s="136" t="e">
        <f>SUM(I754:I760)</f>
        <v>#REF!</v>
      </c>
      <c r="J761" s="140">
        <f>SUM(J754:J760)</f>
        <v>23.85</v>
      </c>
      <c r="K761" s="141">
        <f>SUM(K754:K760)</f>
        <v>223.5</v>
      </c>
      <c r="L761" s="117">
        <f>SUM(L754:L760)</f>
        <v>0</v>
      </c>
      <c r="M761" s="72" t="e">
        <f t="shared" si="30"/>
        <v>#REF!</v>
      </c>
      <c r="O761" s="117"/>
    </row>
    <row r="762" spans="1:16">
      <c r="A762" s="70"/>
      <c r="B762" s="70"/>
      <c r="C762" s="70" t="s">
        <v>346</v>
      </c>
      <c r="D762" s="125">
        <f>25</f>
        <v>25</v>
      </c>
      <c r="E762" s="73">
        <f>12</f>
        <v>12</v>
      </c>
      <c r="F762" s="72">
        <f t="shared" ref="F762:L762" si="31">F654+F750+F761</f>
        <v>3366.6500000000005</v>
      </c>
      <c r="G762" s="72"/>
      <c r="H762" s="72" t="e">
        <f t="shared" si="31"/>
        <v>#REF!</v>
      </c>
      <c r="I762" s="142" t="e">
        <f t="shared" si="31"/>
        <v>#REF!</v>
      </c>
      <c r="J762" s="143" t="e">
        <f t="shared" si="31"/>
        <v>#REF!</v>
      </c>
      <c r="K762" s="144" t="e">
        <f t="shared" si="31"/>
        <v>#REF!</v>
      </c>
      <c r="L762" s="145" t="e">
        <f t="shared" si="31"/>
        <v>#REF!</v>
      </c>
      <c r="M762" s="72" t="e">
        <f t="shared" si="30"/>
        <v>#REF!</v>
      </c>
      <c r="O762" s="130"/>
      <c r="P762" s="106"/>
    </row>
    <row r="763" spans="1:16">
      <c r="A763" s="70"/>
      <c r="B763" s="70"/>
      <c r="D763" s="71"/>
      <c r="E763" s="72"/>
      <c r="F763" s="81"/>
      <c r="G763" s="81"/>
      <c r="H763" s="72" t="e">
        <f>I762+J762+K762+L762</f>
        <v>#REF!</v>
      </c>
      <c r="I763" s="146" t="e">
        <f>1.1*I762</f>
        <v>#REF!</v>
      </c>
      <c r="J763" s="147"/>
      <c r="L763" s="147"/>
    </row>
    <row r="764" spans="1:16">
      <c r="A764" s="98"/>
      <c r="B764" s="98"/>
      <c r="I764" s="148">
        <f>A654*3.5+A750*3.5++A761*1.5</f>
        <v>2127.9499999999998</v>
      </c>
      <c r="L764" s="31" t="e">
        <f>J762+I763</f>
        <v>#REF!</v>
      </c>
    </row>
    <row r="765" spans="1:16">
      <c r="A765" s="29"/>
      <c r="B765" s="29"/>
      <c r="D765" s="29"/>
      <c r="E765" s="29"/>
    </row>
    <row r="766" spans="1:16">
      <c r="A766" s="29"/>
      <c r="B766" s="29"/>
      <c r="D766" s="29"/>
      <c r="E766" s="29"/>
    </row>
    <row r="767" spans="1:16">
      <c r="A767" s="29"/>
      <c r="B767" s="29"/>
      <c r="D767" s="29"/>
      <c r="E767" s="29"/>
    </row>
    <row r="768" spans="1:16">
      <c r="A768" s="29"/>
      <c r="B768" s="29"/>
      <c r="D768" s="29"/>
      <c r="E768" s="29"/>
    </row>
    <row r="769" spans="1:5">
      <c r="A769" s="29"/>
      <c r="B769" s="29"/>
      <c r="D769" s="29"/>
      <c r="E769" s="29"/>
    </row>
    <row r="770" spans="1:5">
      <c r="A770" s="29"/>
      <c r="B770" s="29"/>
      <c r="D770" s="29"/>
      <c r="E770" s="29"/>
    </row>
    <row r="771" spans="1:5">
      <c r="A771" s="29"/>
      <c r="B771" s="29"/>
      <c r="D771" s="29"/>
      <c r="E771" s="29"/>
    </row>
    <row r="772" spans="1:5">
      <c r="A772" s="29"/>
      <c r="B772" s="29"/>
      <c r="D772" s="29"/>
      <c r="E772" s="29"/>
    </row>
    <row r="773" spans="1:5">
      <c r="A773" s="29"/>
      <c r="B773" s="29"/>
      <c r="D773" s="29"/>
      <c r="E773" s="29"/>
    </row>
    <row r="774" spans="1:5">
      <c r="A774" s="29"/>
      <c r="B774" s="29"/>
      <c r="D774" s="29"/>
      <c r="E774" s="29"/>
    </row>
    <row r="775" spans="1:5">
      <c r="A775" s="29"/>
      <c r="B775" s="29"/>
      <c r="D775" s="29"/>
      <c r="E775" s="29"/>
    </row>
    <row r="776" spans="1:5">
      <c r="A776" s="29"/>
      <c r="B776" s="29"/>
      <c r="D776" s="29"/>
      <c r="E776" s="29"/>
    </row>
    <row r="777" spans="1:5">
      <c r="A777" s="29"/>
      <c r="B777" s="29"/>
      <c r="D777" s="29"/>
      <c r="E777" s="29"/>
    </row>
    <row r="778" spans="1:5">
      <c r="A778" s="29"/>
      <c r="B778" s="29"/>
      <c r="D778" s="29"/>
      <c r="E778" s="29"/>
    </row>
    <row r="779" spans="1:5">
      <c r="A779" s="29"/>
      <c r="B779" s="29"/>
      <c r="D779" s="29"/>
      <c r="E779" s="29"/>
    </row>
    <row r="780" spans="1:5">
      <c r="A780" s="29"/>
      <c r="B780" s="29"/>
      <c r="D780" s="29"/>
      <c r="E780" s="29"/>
    </row>
    <row r="781" spans="1:5">
      <c r="A781" s="29"/>
      <c r="B781" s="29"/>
      <c r="D781" s="29"/>
      <c r="E781" s="29"/>
    </row>
    <row r="782" spans="1:5">
      <c r="A782" s="29"/>
      <c r="B782" s="29"/>
      <c r="D782" s="29"/>
      <c r="E782" s="29"/>
    </row>
    <row r="783" spans="1:5">
      <c r="A783" s="29"/>
      <c r="B783" s="29"/>
      <c r="D783" s="29"/>
      <c r="E783" s="29"/>
    </row>
    <row r="784" spans="1:5">
      <c r="A784" s="29"/>
      <c r="B784" s="29"/>
      <c r="D784" s="29"/>
      <c r="E784" s="29"/>
    </row>
    <row r="785" spans="1:5">
      <c r="A785" s="29"/>
      <c r="B785" s="29"/>
      <c r="D785" s="29"/>
      <c r="E785" s="29"/>
    </row>
    <row r="786" spans="1:5">
      <c r="A786" s="29"/>
      <c r="B786" s="29"/>
      <c r="D786" s="29"/>
      <c r="E786" s="29"/>
    </row>
    <row r="787" spans="1:5">
      <c r="A787" s="29"/>
      <c r="B787" s="29"/>
      <c r="D787" s="29"/>
      <c r="E787" s="29"/>
    </row>
    <row r="788" spans="1:5">
      <c r="A788" s="29"/>
      <c r="B788" s="29"/>
      <c r="D788" s="29"/>
      <c r="E788" s="29"/>
    </row>
    <row r="789" spans="1:5">
      <c r="A789" s="29"/>
      <c r="B789" s="29"/>
      <c r="D789" s="29"/>
      <c r="E789" s="29"/>
    </row>
    <row r="790" spans="1:5">
      <c r="A790" s="29"/>
      <c r="B790" s="29"/>
      <c r="D790" s="29"/>
      <c r="E790" s="29"/>
    </row>
    <row r="791" spans="1:5">
      <c r="A791" s="29"/>
      <c r="B791" s="29"/>
      <c r="D791" s="29"/>
      <c r="E791" s="29"/>
    </row>
    <row r="792" spans="1:5">
      <c r="A792" s="29"/>
      <c r="B792" s="29"/>
      <c r="D792" s="29"/>
      <c r="E792" s="29"/>
    </row>
    <row r="793" spans="1:5">
      <c r="A793" s="29"/>
      <c r="B793" s="29"/>
      <c r="D793" s="29"/>
      <c r="E793" s="29"/>
    </row>
    <row r="794" spans="1:5">
      <c r="A794" s="29"/>
      <c r="B794" s="29"/>
      <c r="D794" s="29"/>
      <c r="E794" s="29"/>
    </row>
    <row r="795" spans="1:5">
      <c r="A795" s="29"/>
      <c r="B795" s="29"/>
      <c r="D795" s="29"/>
      <c r="E795" s="29"/>
    </row>
    <row r="796" spans="1:5">
      <c r="A796" s="29"/>
      <c r="B796" s="29"/>
      <c r="D796" s="29"/>
      <c r="E796" s="29"/>
    </row>
    <row r="797" spans="1:5">
      <c r="A797" s="29"/>
      <c r="B797" s="29"/>
      <c r="D797" s="29"/>
      <c r="E797" s="29"/>
    </row>
    <row r="798" spans="1:5">
      <c r="A798" s="29"/>
      <c r="B798" s="29"/>
      <c r="D798" s="29"/>
      <c r="E798" s="29"/>
    </row>
    <row r="799" spans="1:5">
      <c r="A799" s="29"/>
      <c r="B799" s="29"/>
      <c r="D799" s="29"/>
      <c r="E799" s="29"/>
    </row>
    <row r="800" spans="1:5">
      <c r="A800" s="29"/>
      <c r="B800" s="29"/>
      <c r="D800" s="29"/>
      <c r="E800" s="29"/>
    </row>
    <row r="801" spans="1:5">
      <c r="A801" s="29"/>
      <c r="B801" s="29"/>
      <c r="D801" s="29"/>
      <c r="E801" s="29"/>
    </row>
    <row r="802" spans="1:5">
      <c r="A802" s="29"/>
      <c r="B802" s="29"/>
      <c r="D802" s="29"/>
      <c r="E802" s="29"/>
    </row>
    <row r="803" spans="1:5">
      <c r="A803" s="29"/>
      <c r="B803" s="29"/>
      <c r="D803" s="29"/>
      <c r="E803" s="29"/>
    </row>
    <row r="804" spans="1:5">
      <c r="A804" s="29"/>
      <c r="B804" s="29"/>
      <c r="D804" s="29"/>
      <c r="E804" s="29"/>
    </row>
    <row r="805" spans="1:5">
      <c r="A805" s="29"/>
      <c r="B805" s="29"/>
      <c r="D805" s="29"/>
      <c r="E805" s="29"/>
    </row>
    <row r="806" spans="1:5">
      <c r="A806" s="29"/>
      <c r="B806" s="29"/>
      <c r="D806" s="29"/>
      <c r="E806" s="29"/>
    </row>
    <row r="807" spans="1:5">
      <c r="A807" s="29"/>
      <c r="B807" s="29"/>
      <c r="D807" s="29"/>
      <c r="E807" s="29"/>
    </row>
    <row r="808" spans="1:5">
      <c r="A808" s="29"/>
      <c r="B808" s="29"/>
      <c r="D808" s="29"/>
      <c r="E808" s="29"/>
    </row>
    <row r="809" spans="1:5">
      <c r="A809" s="29"/>
      <c r="B809" s="29"/>
      <c r="D809" s="29"/>
      <c r="E809" s="29"/>
    </row>
    <row r="810" spans="1:5">
      <c r="A810" s="29"/>
      <c r="B810" s="29"/>
      <c r="D810" s="29"/>
      <c r="E810" s="29"/>
    </row>
    <row r="811" spans="1:5">
      <c r="A811" s="29"/>
      <c r="B811" s="29"/>
      <c r="D811" s="29"/>
      <c r="E811" s="29"/>
    </row>
    <row r="812" spans="1:5">
      <c r="A812" s="29"/>
      <c r="B812" s="29"/>
      <c r="D812" s="29"/>
      <c r="E812" s="29"/>
    </row>
    <row r="813" spans="1:5">
      <c r="A813" s="29"/>
      <c r="B813" s="29"/>
      <c r="D813" s="29"/>
      <c r="E813" s="29"/>
    </row>
    <row r="814" spans="1:5">
      <c r="A814" s="29"/>
      <c r="B814" s="29"/>
      <c r="D814" s="29"/>
      <c r="E814" s="29"/>
    </row>
    <row r="815" spans="1:5">
      <c r="A815" s="29"/>
      <c r="B815" s="29"/>
      <c r="D815" s="29"/>
      <c r="E815" s="29"/>
    </row>
    <row r="816" spans="1:5">
      <c r="A816" s="29"/>
      <c r="B816" s="29"/>
      <c r="D816" s="29"/>
      <c r="E816" s="29"/>
    </row>
    <row r="817" spans="1:5">
      <c r="A817" s="29"/>
      <c r="B817" s="29"/>
      <c r="D817" s="29"/>
      <c r="E817" s="29"/>
    </row>
    <row r="818" spans="1:5">
      <c r="A818" s="29"/>
      <c r="B818" s="29"/>
      <c r="D818" s="29"/>
      <c r="E818" s="29"/>
    </row>
    <row r="819" spans="1:5">
      <c r="A819" s="29"/>
      <c r="B819" s="29"/>
      <c r="D819" s="29"/>
      <c r="E819" s="29"/>
    </row>
    <row r="820" spans="1:5">
      <c r="A820" s="29"/>
      <c r="B820" s="29"/>
      <c r="D820" s="29"/>
      <c r="E820" s="29"/>
    </row>
    <row r="821" spans="1:5">
      <c r="A821" s="29"/>
      <c r="B821" s="29"/>
      <c r="D821" s="29"/>
      <c r="E821" s="29"/>
    </row>
    <row r="822" spans="1:5">
      <c r="A822" s="29"/>
      <c r="B822" s="29"/>
      <c r="D822" s="29"/>
      <c r="E822" s="29"/>
    </row>
    <row r="823" spans="1:5">
      <c r="A823" s="29"/>
      <c r="B823" s="29"/>
      <c r="D823" s="29"/>
      <c r="E823" s="29"/>
    </row>
    <row r="824" spans="1:5">
      <c r="A824" s="29"/>
      <c r="B824" s="29"/>
      <c r="D824" s="29"/>
      <c r="E824" s="29"/>
    </row>
    <row r="825" spans="1:5">
      <c r="A825" s="29"/>
      <c r="B825" s="29"/>
      <c r="D825" s="29"/>
      <c r="E825" s="29"/>
    </row>
    <row r="826" spans="1:5">
      <c r="A826" s="29"/>
      <c r="B826" s="29"/>
      <c r="D826" s="29"/>
      <c r="E826" s="29"/>
    </row>
    <row r="827" spans="1:5">
      <c r="A827" s="29"/>
      <c r="B827" s="29"/>
      <c r="D827" s="29"/>
      <c r="E827" s="29"/>
    </row>
    <row r="828" spans="1:5">
      <c r="A828" s="29"/>
      <c r="B828" s="29"/>
      <c r="D828" s="29"/>
      <c r="E828" s="29"/>
    </row>
    <row r="829" spans="1:5">
      <c r="A829" s="29"/>
      <c r="B829" s="29"/>
      <c r="D829" s="29"/>
      <c r="E829" s="29"/>
    </row>
    <row r="830" spans="1:5">
      <c r="A830" s="29"/>
      <c r="B830" s="29"/>
      <c r="D830" s="29"/>
      <c r="E830" s="29"/>
    </row>
    <row r="831" spans="1:5">
      <c r="A831" s="29"/>
      <c r="B831" s="29"/>
      <c r="D831" s="29"/>
      <c r="E831" s="29"/>
    </row>
    <row r="832" spans="1:5">
      <c r="A832" s="29"/>
      <c r="B832" s="29"/>
      <c r="D832" s="29"/>
      <c r="E832" s="29"/>
    </row>
    <row r="833" spans="1:5">
      <c r="A833" s="29"/>
      <c r="B833" s="29"/>
      <c r="D833" s="29"/>
      <c r="E833" s="29"/>
    </row>
    <row r="834" spans="1:5">
      <c r="A834" s="29"/>
      <c r="B834" s="29"/>
      <c r="D834" s="29"/>
      <c r="E834" s="29"/>
    </row>
    <row r="835" spans="1:5">
      <c r="A835" s="29"/>
      <c r="B835" s="29"/>
      <c r="D835" s="29"/>
      <c r="E835" s="29"/>
    </row>
    <row r="836" spans="1:5">
      <c r="A836" s="29"/>
      <c r="B836" s="29"/>
      <c r="D836" s="29"/>
      <c r="E836" s="29"/>
    </row>
    <row r="837" spans="1:5">
      <c r="A837" s="29"/>
      <c r="B837" s="29"/>
      <c r="D837" s="29"/>
      <c r="E837" s="29"/>
    </row>
    <row r="838" spans="1:5">
      <c r="A838" s="29"/>
      <c r="B838" s="29"/>
      <c r="D838" s="29"/>
      <c r="E838" s="29"/>
    </row>
    <row r="839" spans="1:5">
      <c r="A839" s="29"/>
      <c r="B839" s="29"/>
      <c r="D839" s="29"/>
      <c r="E839" s="29"/>
    </row>
    <row r="840" spans="1:5">
      <c r="A840" s="29"/>
      <c r="B840" s="29"/>
      <c r="D840" s="29"/>
      <c r="E840" s="29"/>
    </row>
    <row r="841" spans="1:5">
      <c r="A841" s="29"/>
      <c r="B841" s="29"/>
      <c r="D841" s="29"/>
      <c r="E841" s="29"/>
    </row>
    <row r="842" spans="1:5">
      <c r="A842" s="29"/>
      <c r="B842" s="29"/>
      <c r="D842" s="29"/>
      <c r="E842" s="29"/>
    </row>
    <row r="843" spans="1:5">
      <c r="A843" s="29"/>
      <c r="B843" s="29"/>
      <c r="D843" s="29"/>
      <c r="E843" s="29"/>
    </row>
    <row r="844" spans="1:5">
      <c r="A844" s="29"/>
      <c r="B844" s="29"/>
      <c r="D844" s="29"/>
      <c r="E844" s="29"/>
    </row>
    <row r="845" spans="1:5">
      <c r="A845" s="29"/>
      <c r="B845" s="29"/>
      <c r="D845" s="29"/>
      <c r="E845" s="29"/>
    </row>
    <row r="846" spans="1:5">
      <c r="A846" s="29"/>
      <c r="B846" s="29"/>
      <c r="D846" s="29"/>
      <c r="E846" s="29"/>
    </row>
    <row r="847" spans="1:5">
      <c r="A847" s="29"/>
      <c r="B847" s="29"/>
      <c r="D847" s="29"/>
      <c r="E847" s="29"/>
    </row>
    <row r="848" spans="1:5">
      <c r="A848" s="29"/>
      <c r="B848" s="29"/>
      <c r="D848" s="29"/>
      <c r="E848" s="29"/>
    </row>
    <row r="849" spans="1:5">
      <c r="A849" s="29"/>
      <c r="B849" s="29"/>
      <c r="D849" s="29"/>
      <c r="E849" s="29"/>
    </row>
    <row r="850" spans="1:5">
      <c r="A850" s="29"/>
      <c r="B850" s="29"/>
      <c r="D850" s="29"/>
      <c r="E850" s="29"/>
    </row>
    <row r="851" spans="1:5">
      <c r="A851" s="29"/>
      <c r="B851" s="29"/>
      <c r="D851" s="29"/>
      <c r="E851" s="29"/>
    </row>
    <row r="852" spans="1:5">
      <c r="A852" s="29"/>
      <c r="B852" s="29"/>
      <c r="D852" s="29"/>
      <c r="E852" s="29"/>
    </row>
    <row r="853" spans="1:5">
      <c r="A853" s="29"/>
      <c r="B853" s="29"/>
      <c r="D853" s="29"/>
      <c r="E853" s="29"/>
    </row>
    <row r="854" spans="1:5">
      <c r="A854" s="29"/>
      <c r="B854" s="29"/>
      <c r="D854" s="29"/>
      <c r="E854" s="29"/>
    </row>
    <row r="855" spans="1:5">
      <c r="A855" s="29"/>
      <c r="B855" s="29"/>
      <c r="D855" s="29"/>
      <c r="E855" s="29"/>
    </row>
    <row r="856" spans="1:5">
      <c r="A856" s="29"/>
      <c r="B856" s="29"/>
      <c r="D856" s="29"/>
      <c r="E856" s="29"/>
    </row>
    <row r="857" spans="1:5">
      <c r="A857" s="29"/>
      <c r="B857" s="29"/>
      <c r="D857" s="29"/>
      <c r="E857" s="29"/>
    </row>
    <row r="858" spans="1:5">
      <c r="A858" s="29"/>
      <c r="B858" s="29"/>
      <c r="D858" s="29"/>
      <c r="E858" s="29"/>
    </row>
    <row r="859" spans="1:5">
      <c r="A859" s="29"/>
      <c r="B859" s="29"/>
      <c r="D859" s="29"/>
      <c r="E859" s="29"/>
    </row>
    <row r="860" spans="1:5">
      <c r="A860" s="29"/>
      <c r="B860" s="29"/>
      <c r="D860" s="29"/>
      <c r="E860" s="29"/>
    </row>
    <row r="861" spans="1:5">
      <c r="A861" s="29"/>
      <c r="B861" s="29"/>
      <c r="D861" s="29"/>
      <c r="E861" s="29"/>
    </row>
    <row r="862" spans="1:5">
      <c r="A862" s="29"/>
      <c r="B862" s="29"/>
      <c r="D862" s="29"/>
      <c r="E862" s="29"/>
    </row>
    <row r="863" spans="1:5">
      <c r="A863" s="29"/>
      <c r="B863" s="29"/>
      <c r="D863" s="29"/>
      <c r="E863" s="29"/>
    </row>
    <row r="864" spans="1:5">
      <c r="A864" s="29"/>
      <c r="B864" s="29"/>
      <c r="D864" s="29"/>
      <c r="E864" s="29"/>
    </row>
    <row r="865" spans="1:5">
      <c r="A865" s="29"/>
      <c r="B865" s="29"/>
      <c r="D865" s="29"/>
      <c r="E865" s="29"/>
    </row>
    <row r="866" spans="1:5">
      <c r="A866" s="29"/>
      <c r="B866" s="29"/>
      <c r="D866" s="29"/>
      <c r="E866" s="29"/>
    </row>
    <row r="867" spans="1:5">
      <c r="A867" s="29"/>
      <c r="B867" s="29"/>
      <c r="D867" s="29"/>
      <c r="E867" s="29"/>
    </row>
    <row r="868" spans="1:5">
      <c r="A868" s="29"/>
      <c r="B868" s="29"/>
      <c r="D868" s="29"/>
      <c r="E868" s="29"/>
    </row>
    <row r="869" spans="1:5">
      <c r="A869" s="29"/>
      <c r="B869" s="29"/>
      <c r="D869" s="29"/>
      <c r="E869" s="29"/>
    </row>
    <row r="870" spans="1:5">
      <c r="A870" s="29"/>
      <c r="B870" s="29"/>
      <c r="D870" s="29"/>
      <c r="E870" s="29"/>
    </row>
    <row r="871" spans="1:5">
      <c r="A871" s="29"/>
      <c r="B871" s="29"/>
      <c r="D871" s="29"/>
      <c r="E871" s="29"/>
    </row>
    <row r="872" spans="1:5">
      <c r="A872" s="29"/>
      <c r="B872" s="29"/>
      <c r="D872" s="29"/>
      <c r="E872" s="29"/>
    </row>
    <row r="873" spans="1:5">
      <c r="A873" s="29"/>
      <c r="B873" s="29"/>
      <c r="D873" s="29"/>
      <c r="E873" s="29"/>
    </row>
    <row r="874" spans="1:5">
      <c r="A874" s="29"/>
      <c r="B874" s="29"/>
      <c r="D874" s="29"/>
      <c r="E874" s="29"/>
    </row>
    <row r="875" spans="1:5">
      <c r="A875" s="29"/>
      <c r="B875" s="29"/>
      <c r="D875" s="29"/>
      <c r="E875" s="29"/>
    </row>
    <row r="876" spans="1:5">
      <c r="A876" s="29"/>
      <c r="B876" s="29"/>
      <c r="D876" s="29"/>
      <c r="E876" s="29"/>
    </row>
    <row r="877" spans="1:5">
      <c r="A877" s="29"/>
      <c r="B877" s="29"/>
      <c r="D877" s="29"/>
      <c r="E877" s="29"/>
    </row>
    <row r="878" spans="1:5">
      <c r="A878" s="29"/>
      <c r="B878" s="29"/>
      <c r="D878" s="29"/>
      <c r="E878" s="29"/>
    </row>
    <row r="879" spans="1:5">
      <c r="A879" s="29"/>
      <c r="B879" s="29"/>
      <c r="D879" s="29"/>
      <c r="E879" s="29"/>
    </row>
    <row r="880" spans="1:5">
      <c r="A880" s="29"/>
      <c r="B880" s="29"/>
      <c r="D880" s="29"/>
      <c r="E880" s="29"/>
    </row>
    <row r="881" spans="1:5">
      <c r="A881" s="29"/>
      <c r="B881" s="29"/>
      <c r="D881" s="29"/>
      <c r="E881" s="29"/>
    </row>
    <row r="882" spans="1:5">
      <c r="A882" s="29"/>
      <c r="B882" s="29"/>
      <c r="D882" s="29"/>
      <c r="E882" s="29"/>
    </row>
    <row r="883" spans="1:5">
      <c r="A883" s="29"/>
      <c r="B883" s="29"/>
      <c r="D883" s="29"/>
      <c r="E883" s="29"/>
    </row>
    <row r="884" spans="1:5">
      <c r="A884" s="29"/>
      <c r="B884" s="29"/>
      <c r="D884" s="29"/>
      <c r="E884" s="29"/>
    </row>
    <row r="885" spans="1:5">
      <c r="A885" s="29"/>
      <c r="B885" s="29"/>
      <c r="D885" s="29"/>
      <c r="E885" s="29"/>
    </row>
    <row r="886" spans="1:5">
      <c r="A886" s="29"/>
      <c r="B886" s="29"/>
      <c r="D886" s="29"/>
      <c r="E886" s="29"/>
    </row>
    <row r="887" spans="1:5">
      <c r="A887" s="29"/>
      <c r="B887" s="29"/>
      <c r="D887" s="29"/>
      <c r="E887" s="29"/>
    </row>
    <row r="888" spans="1:5">
      <c r="A888" s="149"/>
      <c r="B888" s="149"/>
      <c r="C888" s="96"/>
      <c r="D888" s="71"/>
      <c r="E888" s="150"/>
    </row>
  </sheetData>
  <sheetProtection selectLockedCells="1" selectUnlockedCells="1"/>
  <mergeCells count="19">
    <mergeCell ref="C31:F31"/>
    <mergeCell ref="K31:P31"/>
    <mergeCell ref="I33:J33"/>
    <mergeCell ref="F10:K10"/>
    <mergeCell ref="L10:P10"/>
    <mergeCell ref="C25:K25"/>
    <mergeCell ref="C26:K26"/>
    <mergeCell ref="A30:B30"/>
    <mergeCell ref="I30:J30"/>
    <mergeCell ref="A1:P1"/>
    <mergeCell ref="A2:P2"/>
    <mergeCell ref="M8:N8"/>
    <mergeCell ref="O8:P8"/>
    <mergeCell ref="E9:P9"/>
    <mergeCell ref="A10:A11"/>
    <mergeCell ref="B10:B11"/>
    <mergeCell ref="C10:C11"/>
    <mergeCell ref="D10:D11"/>
    <mergeCell ref="E10:E11"/>
  </mergeCells>
  <printOptions horizontalCentered="1"/>
  <pageMargins left="0.51180555555555551" right="0.55138888888888893" top="0.98402777777777772" bottom="1.1694444444444445" header="0.51180555555555551" footer="0.19652777777777777"/>
  <pageSetup paperSize="9" scale="65" fitToHeight="2" orientation="landscape" useFirstPageNumber="1" horizontalDpi="300" verticalDpi="300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84"/>
  <sheetViews>
    <sheetView zoomScale="50" zoomScaleNormal="50" workbookViewId="0">
      <selection activeCell="L22" sqref="L22:P23"/>
    </sheetView>
  </sheetViews>
  <sheetFormatPr defaultColWidth="33.296875" defaultRowHeight="12.75"/>
  <cols>
    <col min="1" max="1" width="4.296875" style="28" customWidth="1"/>
    <col min="2" max="2" width="8.19921875" style="154" customWidth="1"/>
    <col min="3" max="3" width="27.8984375" style="29" customWidth="1"/>
    <col min="4" max="4" width="6.3984375" style="30" customWidth="1"/>
    <col min="5" max="5" width="7.3984375" style="28" customWidth="1"/>
    <col min="6" max="6" width="6.296875" style="29" customWidth="1"/>
    <col min="7" max="7" width="6.69921875" style="29" customWidth="1"/>
    <col min="8" max="8" width="8.3984375" style="31" customWidth="1"/>
    <col min="9" max="9" width="8.19921875" style="31" customWidth="1"/>
    <col min="10" max="10" width="8.3984375" style="29" customWidth="1"/>
    <col min="11" max="11" width="9.8984375" style="29" customWidth="1"/>
    <col min="12" max="12" width="8.8984375" style="29" customWidth="1"/>
    <col min="13" max="13" width="10.3984375" style="29" customWidth="1"/>
    <col min="14" max="14" width="10.796875" style="29" customWidth="1"/>
    <col min="15" max="15" width="10.296875" style="29" customWidth="1"/>
    <col min="16" max="16" width="11.09765625" style="29" customWidth="1"/>
    <col min="17" max="34" width="10.19921875" style="29" customWidth="1"/>
    <col min="35" max="16384" width="33.296875" style="29"/>
  </cols>
  <sheetData>
    <row r="1" spans="1:16" ht="20.100000000000001" customHeight="1">
      <c r="A1" s="269" t="s">
        <v>402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</row>
    <row r="2" spans="1:16" ht="20.100000000000001" customHeight="1">
      <c r="A2" s="270" t="s">
        <v>421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</row>
    <row r="3" spans="1:16" ht="19.5" customHeight="1">
      <c r="A3" s="32"/>
      <c r="B3" s="32"/>
      <c r="C3" s="240"/>
      <c r="D3" s="239"/>
      <c r="E3" s="239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16" ht="20.100000000000001" customHeight="1">
      <c r="A4" s="32"/>
      <c r="B4" s="32"/>
      <c r="C4" s="240"/>
      <c r="D4" s="239"/>
      <c r="E4" s="239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</row>
    <row r="5" spans="1:16" ht="20.100000000000001" customHeight="1">
      <c r="A5" s="32" t="str">
        <f>KA_1!A4:H4</f>
        <v>Objekta nosaukums un adrese: Skvēru un piegulošās teritorijas labiekārtojums, 1.kārta,  Rīgas ielā 101 un 103, Līvānos</v>
      </c>
      <c r="B5" s="32"/>
      <c r="C5" s="240"/>
      <c r="D5" s="239"/>
      <c r="E5" s="239"/>
      <c r="F5" s="35"/>
      <c r="G5" s="35"/>
      <c r="H5" s="35"/>
      <c r="I5" s="35"/>
      <c r="J5" s="35"/>
      <c r="K5" s="35"/>
      <c r="M5" s="36"/>
      <c r="N5" s="35"/>
      <c r="O5" s="35"/>
      <c r="P5" s="35"/>
    </row>
    <row r="6" spans="1:16" ht="20.100000000000001" customHeight="1">
      <c r="A6" s="32" t="str">
        <f>KA_1!A5:H5</f>
        <v>Pasūtījuma Nr.:             16-02</v>
      </c>
      <c r="B6" s="32"/>
      <c r="C6" s="240"/>
      <c r="D6" s="239"/>
      <c r="E6" s="239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 ht="20.100000000000001" customHeight="1">
      <c r="A7" s="32" t="s">
        <v>493</v>
      </c>
      <c r="B7" s="32"/>
      <c r="C7" s="240"/>
      <c r="D7" s="239"/>
      <c r="E7" s="239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 ht="20.100000000000001" customHeight="1">
      <c r="A8" s="32"/>
      <c r="B8" s="37"/>
      <c r="C8" s="240"/>
      <c r="D8" s="239"/>
      <c r="E8" s="29"/>
      <c r="F8" s="35"/>
      <c r="G8" s="35"/>
      <c r="H8" s="35"/>
      <c r="I8" s="35"/>
      <c r="J8" s="35"/>
      <c r="K8" s="38"/>
      <c r="L8" s="35"/>
      <c r="M8" s="271" t="s">
        <v>394</v>
      </c>
      <c r="N8" s="271"/>
      <c r="O8" s="272">
        <f>P23</f>
        <v>0</v>
      </c>
      <c r="P8" s="272"/>
    </row>
    <row r="9" spans="1:16" ht="15" customHeight="1">
      <c r="A9" s="155"/>
      <c r="B9" s="155"/>
      <c r="C9" s="151"/>
      <c r="D9" s="156"/>
      <c r="E9" s="157"/>
      <c r="F9" s="158"/>
      <c r="G9" s="281"/>
      <c r="H9" s="281"/>
      <c r="I9" s="158"/>
      <c r="J9" s="158"/>
      <c r="K9" s="157"/>
      <c r="L9" s="242"/>
      <c r="M9" s="157"/>
      <c r="N9" s="158"/>
      <c r="O9" s="158"/>
      <c r="P9" s="158"/>
    </row>
    <row r="10" spans="1:16" ht="20.100000000000001" customHeight="1">
      <c r="A10" s="274" t="s">
        <v>4</v>
      </c>
      <c r="B10" s="274" t="s">
        <v>23</v>
      </c>
      <c r="C10" s="275" t="s">
        <v>24</v>
      </c>
      <c r="D10" s="274" t="s">
        <v>25</v>
      </c>
      <c r="E10" s="274" t="s">
        <v>411</v>
      </c>
      <c r="F10" s="278" t="s">
        <v>26</v>
      </c>
      <c r="G10" s="278"/>
      <c r="H10" s="278"/>
      <c r="I10" s="278"/>
      <c r="J10" s="278"/>
      <c r="K10" s="278"/>
      <c r="L10" s="278" t="s">
        <v>27</v>
      </c>
      <c r="M10" s="278"/>
      <c r="N10" s="278"/>
      <c r="O10" s="278"/>
      <c r="P10" s="278"/>
    </row>
    <row r="11" spans="1:16" ht="99.95" customHeight="1">
      <c r="A11" s="274"/>
      <c r="B11" s="274"/>
      <c r="C11" s="275"/>
      <c r="D11" s="274"/>
      <c r="E11" s="274"/>
      <c r="F11" s="241" t="s">
        <v>28</v>
      </c>
      <c r="G11" s="241" t="s">
        <v>388</v>
      </c>
      <c r="H11" s="241" t="s">
        <v>389</v>
      </c>
      <c r="I11" s="241" t="s">
        <v>390</v>
      </c>
      <c r="J11" s="241" t="s">
        <v>391</v>
      </c>
      <c r="K11" s="241" t="s">
        <v>392</v>
      </c>
      <c r="L11" s="241" t="s">
        <v>29</v>
      </c>
      <c r="M11" s="241" t="s">
        <v>389</v>
      </c>
      <c r="N11" s="241" t="s">
        <v>390</v>
      </c>
      <c r="O11" s="241" t="s">
        <v>391</v>
      </c>
      <c r="P11" s="241" t="s">
        <v>393</v>
      </c>
    </row>
    <row r="12" spans="1:16" s="63" customFormat="1" ht="50.1" customHeight="1">
      <c r="A12" s="40"/>
      <c r="B12" s="41"/>
      <c r="C12" s="213" t="s">
        <v>423</v>
      </c>
      <c r="D12" s="43"/>
      <c r="E12" s="159"/>
      <c r="F12" s="160"/>
      <c r="G12" s="161"/>
      <c r="H12" s="162"/>
      <c r="I12" s="162"/>
      <c r="J12" s="162"/>
      <c r="K12" s="162"/>
      <c r="L12" s="162"/>
      <c r="M12" s="162"/>
      <c r="N12" s="162"/>
      <c r="O12" s="162"/>
      <c r="P12" s="162"/>
    </row>
    <row r="13" spans="1:16" s="63" customFormat="1" ht="101.25" customHeight="1">
      <c r="A13" s="40">
        <v>1</v>
      </c>
      <c r="B13" s="41" t="s">
        <v>490</v>
      </c>
      <c r="C13" s="42" t="s">
        <v>487</v>
      </c>
      <c r="D13" s="43" t="s">
        <v>36</v>
      </c>
      <c r="E13" s="44">
        <v>3</v>
      </c>
      <c r="F13" s="45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pans="1:16" s="63" customFormat="1" ht="69.75" customHeight="1">
      <c r="A14" s="40">
        <v>2</v>
      </c>
      <c r="B14" s="41" t="s">
        <v>349</v>
      </c>
      <c r="C14" s="42" t="s">
        <v>419</v>
      </c>
      <c r="D14" s="43" t="s">
        <v>348</v>
      </c>
      <c r="E14" s="44">
        <v>70</v>
      </c>
      <c r="F14" s="45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pans="1:16" s="63" customFormat="1" ht="69.75" customHeight="1">
      <c r="A15" s="40">
        <v>3</v>
      </c>
      <c r="B15" s="41" t="s">
        <v>350</v>
      </c>
      <c r="C15" s="42" t="s">
        <v>501</v>
      </c>
      <c r="D15" s="43" t="s">
        <v>416</v>
      </c>
      <c r="E15" s="44">
        <v>1</v>
      </c>
      <c r="F15" s="45"/>
      <c r="G15" s="46"/>
      <c r="H15" s="46"/>
      <c r="I15" s="46"/>
      <c r="J15" s="46"/>
      <c r="K15" s="46"/>
      <c r="L15" s="46"/>
      <c r="M15" s="46"/>
      <c r="N15" s="46"/>
      <c r="O15" s="46"/>
      <c r="P15" s="46"/>
    </row>
    <row r="16" spans="1:16" s="63" customFormat="1" ht="69.75" customHeight="1">
      <c r="A16" s="40">
        <v>4</v>
      </c>
      <c r="B16" s="41" t="s">
        <v>351</v>
      </c>
      <c r="C16" s="163" t="s">
        <v>488</v>
      </c>
      <c r="D16" s="43" t="s">
        <v>348</v>
      </c>
      <c r="E16" s="44">
        <v>70</v>
      </c>
      <c r="F16" s="45"/>
      <c r="G16" s="46"/>
      <c r="H16" s="46"/>
      <c r="I16" s="46"/>
      <c r="J16" s="46"/>
      <c r="K16" s="46"/>
      <c r="L16" s="46"/>
      <c r="M16" s="46"/>
      <c r="N16" s="46"/>
      <c r="O16" s="46"/>
      <c r="P16" s="46"/>
    </row>
    <row r="17" spans="1:18" s="63" customFormat="1" ht="69.75" customHeight="1">
      <c r="A17" s="40">
        <v>5</v>
      </c>
      <c r="B17" s="41" t="s">
        <v>352</v>
      </c>
      <c r="C17" s="42" t="s">
        <v>489</v>
      </c>
      <c r="D17" s="43" t="s">
        <v>36</v>
      </c>
      <c r="E17" s="44">
        <v>2</v>
      </c>
      <c r="F17" s="45"/>
      <c r="G17" s="46"/>
      <c r="H17" s="46"/>
      <c r="I17" s="46"/>
      <c r="J17" s="46"/>
      <c r="K17" s="46"/>
      <c r="L17" s="46"/>
      <c r="M17" s="46"/>
      <c r="N17" s="46"/>
      <c r="O17" s="46"/>
      <c r="P17" s="46"/>
    </row>
    <row r="18" spans="1:18" s="63" customFormat="1" ht="70.5" customHeight="1">
      <c r="A18" s="40">
        <v>6</v>
      </c>
      <c r="B18" s="41" t="s">
        <v>353</v>
      </c>
      <c r="C18" s="42" t="s">
        <v>414</v>
      </c>
      <c r="D18" s="43" t="s">
        <v>49</v>
      </c>
      <c r="E18" s="44">
        <v>1</v>
      </c>
      <c r="F18" s="45"/>
      <c r="G18" s="46"/>
      <c r="H18" s="46"/>
      <c r="I18" s="46"/>
      <c r="J18" s="46"/>
      <c r="K18" s="46"/>
      <c r="L18" s="46"/>
      <c r="M18" s="46"/>
      <c r="N18" s="46"/>
      <c r="O18" s="46"/>
      <c r="P18" s="46"/>
    </row>
    <row r="19" spans="1:18" s="63" customFormat="1" ht="70.5" customHeight="1">
      <c r="A19" s="40">
        <v>7</v>
      </c>
      <c r="B19" s="41" t="s">
        <v>491</v>
      </c>
      <c r="C19" s="42" t="s">
        <v>417</v>
      </c>
      <c r="D19" s="43" t="s">
        <v>418</v>
      </c>
      <c r="E19" s="44">
        <v>1</v>
      </c>
      <c r="F19" s="45"/>
      <c r="G19" s="46"/>
      <c r="H19" s="46"/>
      <c r="I19" s="46"/>
      <c r="J19" s="46"/>
      <c r="K19" s="46"/>
      <c r="L19" s="46"/>
      <c r="M19" s="46"/>
      <c r="N19" s="46"/>
      <c r="O19" s="46"/>
      <c r="P19" s="46"/>
    </row>
    <row r="20" spans="1:18" s="63" customFormat="1" ht="73.5" customHeight="1">
      <c r="A20" s="40">
        <v>8</v>
      </c>
      <c r="B20" s="41" t="s">
        <v>492</v>
      </c>
      <c r="C20" s="42" t="s">
        <v>415</v>
      </c>
      <c r="D20" s="43" t="s">
        <v>416</v>
      </c>
      <c r="E20" s="44">
        <v>1</v>
      </c>
      <c r="F20" s="45"/>
      <c r="G20" s="46"/>
      <c r="H20" s="46"/>
      <c r="I20" s="46"/>
      <c r="J20" s="46"/>
      <c r="K20" s="46"/>
      <c r="L20" s="46"/>
      <c r="M20" s="46"/>
      <c r="N20" s="46"/>
      <c r="O20" s="46"/>
      <c r="P20" s="46"/>
    </row>
    <row r="21" spans="1:18" s="63" customFormat="1" ht="50.1" customHeight="1">
      <c r="A21" s="243"/>
      <c r="B21" s="243"/>
      <c r="C21" s="243" t="s">
        <v>6</v>
      </c>
      <c r="D21" s="243"/>
      <c r="E21" s="243"/>
      <c r="F21" s="243"/>
      <c r="G21" s="243"/>
      <c r="H21" s="243"/>
      <c r="I21" s="243"/>
      <c r="J21" s="243"/>
      <c r="K21" s="243"/>
      <c r="L21" s="54"/>
      <c r="M21" s="54"/>
      <c r="N21" s="54"/>
      <c r="O21" s="54"/>
      <c r="P21" s="54"/>
      <c r="R21" s="164"/>
    </row>
    <row r="22" spans="1:18" s="63" customFormat="1" ht="50.1" customHeight="1">
      <c r="A22" s="165"/>
      <c r="B22" s="165"/>
      <c r="C22" s="282" t="s">
        <v>54</v>
      </c>
      <c r="D22" s="282"/>
      <c r="E22" s="282"/>
      <c r="F22" s="282"/>
      <c r="G22" s="282"/>
      <c r="H22" s="282"/>
      <c r="I22" s="282"/>
      <c r="J22" s="282"/>
      <c r="K22" s="282"/>
      <c r="L22" s="216"/>
      <c r="M22" s="218"/>
      <c r="N22" s="218"/>
      <c r="O22" s="57"/>
      <c r="P22" s="58"/>
    </row>
    <row r="23" spans="1:18" s="63" customFormat="1" ht="50.1" customHeight="1">
      <c r="A23" s="165"/>
      <c r="B23" s="165"/>
      <c r="C23" s="283" t="s">
        <v>55</v>
      </c>
      <c r="D23" s="283"/>
      <c r="E23" s="283"/>
      <c r="F23" s="283"/>
      <c r="G23" s="283"/>
      <c r="H23" s="283"/>
      <c r="I23" s="283"/>
      <c r="J23" s="283"/>
      <c r="K23" s="283"/>
      <c r="L23" s="59"/>
      <c r="M23" s="59"/>
      <c r="N23" s="59"/>
      <c r="O23" s="59"/>
      <c r="P23" s="59"/>
      <c r="R23" s="166"/>
    </row>
    <row r="24" spans="1:18">
      <c r="A24" s="70"/>
      <c r="B24" s="167"/>
      <c r="C24" s="70"/>
      <c r="D24" s="71"/>
      <c r="E24" s="72"/>
      <c r="F24" s="72"/>
      <c r="G24" s="72"/>
      <c r="H24" s="29"/>
      <c r="I24" s="29"/>
      <c r="J24" s="72"/>
      <c r="K24" s="72"/>
      <c r="L24" s="72"/>
      <c r="M24" s="72"/>
      <c r="N24" s="72"/>
      <c r="O24" s="72"/>
      <c r="P24" s="72"/>
    </row>
    <row r="25" spans="1:18" ht="15">
      <c r="A25" s="70"/>
      <c r="B25" s="249" t="s">
        <v>503</v>
      </c>
      <c r="C25" s="70"/>
      <c r="D25" s="71"/>
      <c r="E25" s="72"/>
      <c r="F25" s="72"/>
      <c r="G25" s="72"/>
      <c r="H25" s="29"/>
      <c r="I25" s="29"/>
      <c r="J25" s="72"/>
      <c r="K25" s="72"/>
      <c r="L25" s="72"/>
      <c r="M25" s="72"/>
      <c r="N25" s="72"/>
      <c r="O25" s="72"/>
      <c r="P25" s="72"/>
    </row>
    <row r="26" spans="1:18" ht="15">
      <c r="A26" s="70"/>
      <c r="B26" s="249"/>
      <c r="C26" s="70"/>
      <c r="D26" s="71"/>
      <c r="E26" s="72"/>
      <c r="F26" s="72"/>
      <c r="G26" s="72"/>
      <c r="H26" s="29"/>
      <c r="I26" s="29"/>
      <c r="J26" s="72"/>
      <c r="K26" s="72"/>
      <c r="L26" s="72"/>
      <c r="M26" s="72"/>
      <c r="N26" s="72"/>
      <c r="O26" s="72"/>
      <c r="P26" s="72"/>
    </row>
    <row r="27" spans="1:18">
      <c r="A27" s="70"/>
      <c r="B27" s="167"/>
      <c r="C27" s="70"/>
      <c r="D27" s="71"/>
      <c r="E27" s="72"/>
      <c r="F27" s="72"/>
      <c r="G27" s="72"/>
      <c r="H27" s="29"/>
      <c r="I27" s="29"/>
      <c r="J27" s="72"/>
      <c r="K27" s="72"/>
      <c r="L27" s="72"/>
      <c r="M27" s="72"/>
      <c r="N27" s="72"/>
      <c r="O27" s="72"/>
      <c r="P27" s="72"/>
    </row>
    <row r="28" spans="1:18" s="63" customFormat="1" ht="15" customHeight="1">
      <c r="A28" s="267" t="s">
        <v>9</v>
      </c>
      <c r="B28" s="267"/>
      <c r="C28" s="65"/>
      <c r="E28" s="66"/>
      <c r="F28" s="67"/>
      <c r="G28" s="67"/>
      <c r="H28" s="68"/>
      <c r="I28" s="268" t="s">
        <v>56</v>
      </c>
      <c r="J28" s="268"/>
      <c r="K28" s="67"/>
      <c r="L28" s="67"/>
      <c r="M28" s="67"/>
      <c r="N28" s="66"/>
      <c r="O28" s="67"/>
      <c r="P28" s="67"/>
    </row>
    <row r="29" spans="1:18" s="63" customFormat="1" ht="15">
      <c r="A29" s="238"/>
      <c r="B29" s="238"/>
      <c r="C29" s="276" t="s">
        <v>10</v>
      </c>
      <c r="D29" s="276"/>
      <c r="E29" s="276"/>
      <c r="F29" s="276"/>
      <c r="G29" s="276"/>
      <c r="I29" s="239"/>
      <c r="J29" s="239"/>
      <c r="K29" s="277" t="s">
        <v>10</v>
      </c>
      <c r="L29" s="277"/>
      <c r="M29" s="277"/>
      <c r="N29" s="277"/>
      <c r="O29" s="277"/>
      <c r="P29" s="277"/>
    </row>
    <row r="30" spans="1:18" s="63" customFormat="1" ht="15">
      <c r="A30" s="238"/>
      <c r="B30" s="238"/>
      <c r="C30" s="238"/>
      <c r="D30" s="61"/>
      <c r="E30" s="62"/>
      <c r="F30" s="62"/>
      <c r="G30" s="62"/>
      <c r="J30" s="62"/>
      <c r="K30" s="62"/>
      <c r="L30" s="62"/>
      <c r="M30" s="62"/>
      <c r="N30" s="62"/>
      <c r="O30" s="62"/>
      <c r="P30" s="62"/>
    </row>
    <row r="31" spans="1:18" s="63" customFormat="1" ht="16.899999999999999" customHeight="1">
      <c r="D31" s="69"/>
      <c r="E31" s="62"/>
      <c r="F31" s="62"/>
      <c r="G31" s="62"/>
      <c r="I31" s="267" t="s">
        <v>11</v>
      </c>
      <c r="J31" s="267"/>
      <c r="K31" s="65"/>
      <c r="L31" s="62"/>
      <c r="M31" s="62"/>
      <c r="N31" s="62"/>
      <c r="O31" s="62"/>
      <c r="P31" s="62"/>
    </row>
    <row r="32" spans="1:18">
      <c r="A32" s="70"/>
      <c r="B32" s="167"/>
      <c r="C32" s="70"/>
      <c r="D32" s="71"/>
      <c r="E32" s="72"/>
      <c r="F32" s="72"/>
      <c r="G32" s="72"/>
      <c r="H32" s="29"/>
      <c r="I32" s="29"/>
      <c r="J32" s="72"/>
      <c r="K32" s="72"/>
      <c r="L32" s="72"/>
      <c r="M32" s="72"/>
      <c r="N32" s="72"/>
      <c r="O32" s="72"/>
      <c r="P32" s="72"/>
    </row>
    <row r="33" spans="1:16">
      <c r="A33" s="70"/>
      <c r="B33" s="167"/>
      <c r="C33" s="70"/>
      <c r="D33" s="71"/>
      <c r="E33" s="72"/>
      <c r="F33" s="72"/>
      <c r="G33" s="72"/>
      <c r="H33" s="29"/>
      <c r="I33" s="29"/>
      <c r="J33" s="72"/>
      <c r="K33" s="72"/>
      <c r="L33" s="72"/>
      <c r="M33" s="72"/>
      <c r="N33" s="72"/>
      <c r="O33" s="72"/>
      <c r="P33" s="72"/>
    </row>
    <row r="34" spans="1:16">
      <c r="A34" s="70"/>
      <c r="B34" s="167"/>
      <c r="C34" s="70"/>
      <c r="D34" s="71"/>
      <c r="E34" s="72"/>
      <c r="F34" s="72"/>
      <c r="G34" s="72"/>
      <c r="H34" s="29"/>
      <c r="I34" s="29"/>
      <c r="J34" s="72"/>
      <c r="K34" s="72"/>
      <c r="L34" s="72"/>
      <c r="M34" s="72"/>
      <c r="N34" s="72"/>
      <c r="O34" s="72"/>
      <c r="P34" s="72"/>
    </row>
    <row r="35" spans="1:16">
      <c r="A35" s="70"/>
      <c r="B35" s="167"/>
      <c r="C35" s="70"/>
      <c r="D35" s="71"/>
      <c r="E35" s="72"/>
      <c r="F35" s="72"/>
      <c r="G35" s="72"/>
      <c r="H35" s="29"/>
      <c r="I35" s="29"/>
      <c r="J35" s="72"/>
      <c r="K35" s="72"/>
      <c r="L35" s="72"/>
      <c r="M35" s="72"/>
      <c r="N35" s="72"/>
      <c r="O35" s="72"/>
      <c r="P35" s="72"/>
    </row>
    <row r="36" spans="1:16">
      <c r="A36" s="70"/>
      <c r="B36" s="167"/>
      <c r="C36" s="70"/>
      <c r="D36" s="71"/>
      <c r="E36" s="72"/>
      <c r="F36" s="72"/>
      <c r="G36" s="72"/>
      <c r="H36" s="29"/>
      <c r="I36" s="29"/>
      <c r="J36" s="72"/>
      <c r="K36" s="72"/>
      <c r="L36" s="72"/>
      <c r="M36" s="72"/>
      <c r="N36" s="72"/>
      <c r="O36" s="72"/>
      <c r="P36" s="72"/>
    </row>
    <row r="37" spans="1:16">
      <c r="A37" s="70"/>
      <c r="B37" s="167"/>
      <c r="C37" s="70"/>
      <c r="D37" s="71"/>
      <c r="E37" s="72"/>
      <c r="F37" s="72"/>
      <c r="G37" s="72"/>
      <c r="H37" s="29"/>
      <c r="I37" s="29"/>
      <c r="J37" s="72"/>
      <c r="K37" s="72"/>
      <c r="L37" s="72"/>
      <c r="M37" s="72"/>
      <c r="N37" s="72"/>
      <c r="O37" s="72"/>
      <c r="P37" s="72"/>
    </row>
    <row r="38" spans="1:16">
      <c r="A38" s="70"/>
      <c r="B38" s="167"/>
      <c r="C38" s="70"/>
      <c r="D38" s="71"/>
      <c r="E38" s="72"/>
      <c r="F38" s="72"/>
      <c r="G38" s="72"/>
      <c r="H38" s="29"/>
      <c r="I38" s="29"/>
      <c r="J38" s="72"/>
      <c r="K38" s="72"/>
      <c r="L38" s="72"/>
      <c r="M38" s="72"/>
      <c r="N38" s="72"/>
      <c r="O38" s="72"/>
      <c r="P38" s="72"/>
    </row>
    <row r="39" spans="1:16">
      <c r="A39" s="70"/>
      <c r="B39" s="167"/>
      <c r="C39" s="70"/>
      <c r="D39" s="71"/>
      <c r="E39" s="72"/>
      <c r="F39" s="72"/>
      <c r="G39" s="72"/>
      <c r="H39" s="29"/>
      <c r="I39" s="29"/>
      <c r="J39" s="72"/>
      <c r="K39" s="72"/>
      <c r="L39" s="72"/>
      <c r="M39" s="72"/>
      <c r="N39" s="72"/>
      <c r="O39" s="72"/>
      <c r="P39" s="72"/>
    </row>
    <row r="40" spans="1:16">
      <c r="A40" s="70"/>
      <c r="B40" s="167"/>
      <c r="C40" s="70"/>
      <c r="D40" s="71"/>
      <c r="E40" s="72"/>
      <c r="F40" s="72"/>
      <c r="G40" s="72"/>
      <c r="H40" s="29"/>
      <c r="I40" s="29"/>
      <c r="J40" s="72"/>
      <c r="K40" s="72"/>
      <c r="L40" s="72"/>
      <c r="M40" s="72"/>
      <c r="N40" s="72"/>
      <c r="O40" s="72"/>
      <c r="P40" s="72"/>
    </row>
    <row r="41" spans="1:16">
      <c r="A41" s="70"/>
      <c r="B41" s="167"/>
      <c r="C41" s="70"/>
      <c r="D41" s="71"/>
      <c r="E41" s="72"/>
      <c r="F41" s="72"/>
      <c r="G41" s="72"/>
      <c r="H41" s="29"/>
      <c r="I41" s="29"/>
      <c r="J41" s="72"/>
      <c r="K41" s="72"/>
      <c r="L41" s="72"/>
      <c r="M41" s="72"/>
      <c r="N41" s="72"/>
      <c r="O41" s="72"/>
      <c r="P41" s="72"/>
    </row>
    <row r="42" spans="1:16">
      <c r="A42" s="70"/>
      <c r="B42" s="167"/>
      <c r="C42" s="70"/>
      <c r="D42" s="71"/>
      <c r="E42" s="72"/>
      <c r="F42" s="72"/>
      <c r="G42" s="72"/>
      <c r="H42" s="29"/>
      <c r="I42" s="29"/>
      <c r="J42" s="72"/>
      <c r="K42" s="72"/>
      <c r="L42" s="72"/>
      <c r="M42" s="72"/>
      <c r="N42" s="72"/>
      <c r="O42" s="72"/>
      <c r="P42" s="72"/>
    </row>
    <row r="43" spans="1:16">
      <c r="A43" s="70"/>
      <c r="B43" s="167"/>
      <c r="C43" s="70"/>
      <c r="D43" s="71"/>
      <c r="E43" s="72"/>
      <c r="F43" s="72"/>
      <c r="G43" s="72"/>
      <c r="H43" s="29"/>
      <c r="I43" s="29"/>
      <c r="J43" s="72"/>
      <c r="K43" s="72"/>
      <c r="L43" s="72"/>
      <c r="M43" s="72"/>
      <c r="N43" s="72"/>
      <c r="O43" s="72"/>
      <c r="P43" s="72"/>
    </row>
    <row r="44" spans="1:16">
      <c r="A44" s="70"/>
      <c r="B44" s="167"/>
      <c r="C44" s="70"/>
      <c r="D44" s="71"/>
      <c r="E44" s="72"/>
      <c r="F44" s="72"/>
      <c r="G44" s="72"/>
      <c r="H44" s="29"/>
      <c r="I44" s="29"/>
      <c r="J44" s="72"/>
      <c r="K44" s="72"/>
      <c r="L44" s="72"/>
      <c r="M44" s="72"/>
      <c r="N44" s="72"/>
      <c r="O44" s="72"/>
      <c r="P44" s="72"/>
    </row>
    <row r="45" spans="1:16">
      <c r="A45" s="70"/>
      <c r="B45" s="167"/>
      <c r="C45" s="70"/>
      <c r="D45" s="71"/>
      <c r="E45" s="72"/>
      <c r="F45" s="72"/>
      <c r="G45" s="72"/>
      <c r="H45" s="29"/>
      <c r="I45" s="29"/>
      <c r="J45" s="72"/>
      <c r="K45" s="72"/>
      <c r="L45" s="72"/>
      <c r="M45" s="72"/>
      <c r="N45" s="72"/>
      <c r="O45" s="72"/>
      <c r="P45" s="72"/>
    </row>
    <row r="46" spans="1:16">
      <c r="A46" s="70"/>
      <c r="B46" s="167"/>
      <c r="C46" s="70"/>
      <c r="D46" s="71"/>
      <c r="E46" s="72"/>
      <c r="F46" s="72"/>
      <c r="G46" s="72"/>
      <c r="H46" s="29"/>
      <c r="I46" s="29"/>
      <c r="J46" s="72"/>
      <c r="K46" s="72"/>
      <c r="L46" s="72"/>
      <c r="M46" s="72"/>
      <c r="N46" s="72"/>
      <c r="O46" s="72"/>
      <c r="P46" s="72"/>
    </row>
    <row r="47" spans="1:16">
      <c r="A47" s="70"/>
      <c r="B47" s="167"/>
      <c r="C47" s="70"/>
      <c r="D47" s="71"/>
      <c r="E47" s="72"/>
      <c r="F47" s="72"/>
      <c r="G47" s="72"/>
      <c r="H47" s="29"/>
      <c r="I47" s="29"/>
      <c r="J47" s="72"/>
      <c r="K47" s="72"/>
      <c r="L47" s="72"/>
      <c r="M47" s="72"/>
      <c r="N47" s="72"/>
      <c r="O47" s="72"/>
      <c r="P47" s="72"/>
    </row>
    <row r="48" spans="1:16">
      <c r="A48" s="70"/>
      <c r="B48" s="167"/>
      <c r="C48" s="70"/>
      <c r="D48" s="71"/>
      <c r="E48" s="72"/>
      <c r="F48" s="72"/>
      <c r="G48" s="72"/>
      <c r="H48" s="29"/>
      <c r="I48" s="29"/>
      <c r="J48" s="72"/>
      <c r="K48" s="72"/>
      <c r="L48" s="72"/>
      <c r="M48" s="72"/>
      <c r="N48" s="72"/>
      <c r="O48" s="72"/>
      <c r="P48" s="72"/>
    </row>
    <row r="49" spans="1:16">
      <c r="A49" s="70"/>
      <c r="B49" s="167"/>
      <c r="C49" s="70"/>
      <c r="D49" s="71"/>
      <c r="E49" s="72"/>
      <c r="F49" s="72"/>
      <c r="G49" s="72"/>
      <c r="H49" s="29"/>
      <c r="I49" s="29"/>
      <c r="J49" s="72"/>
      <c r="K49" s="72"/>
      <c r="L49" s="72"/>
      <c r="M49" s="72"/>
      <c r="N49" s="72"/>
      <c r="O49" s="72"/>
      <c r="P49" s="72"/>
    </row>
    <row r="50" spans="1:16">
      <c r="A50" s="70"/>
      <c r="B50" s="167"/>
      <c r="C50" s="70"/>
      <c r="D50" s="71"/>
      <c r="E50" s="72"/>
      <c r="F50" s="72"/>
      <c r="G50" s="72"/>
      <c r="H50" s="29"/>
      <c r="I50" s="29"/>
      <c r="J50" s="72"/>
      <c r="K50" s="72"/>
      <c r="L50" s="72"/>
      <c r="M50" s="72"/>
      <c r="N50" s="72"/>
      <c r="O50" s="72"/>
      <c r="P50" s="72"/>
    </row>
    <row r="51" spans="1:16">
      <c r="A51" s="70"/>
      <c r="B51" s="167"/>
      <c r="C51" s="70"/>
      <c r="D51" s="71"/>
      <c r="E51" s="72"/>
      <c r="F51" s="72"/>
      <c r="G51" s="72"/>
      <c r="H51" s="29"/>
      <c r="I51" s="29"/>
      <c r="J51" s="72"/>
      <c r="K51" s="72"/>
      <c r="L51" s="72"/>
      <c r="M51" s="72"/>
      <c r="N51" s="72"/>
      <c r="O51" s="72"/>
      <c r="P51" s="72"/>
    </row>
    <row r="52" spans="1:16">
      <c r="A52" s="70"/>
      <c r="B52" s="167"/>
      <c r="C52" s="70"/>
      <c r="D52" s="71"/>
      <c r="E52" s="72"/>
      <c r="F52" s="72"/>
      <c r="G52" s="72"/>
      <c r="H52" s="29"/>
      <c r="I52" s="29"/>
      <c r="J52" s="72"/>
      <c r="K52" s="72"/>
      <c r="L52" s="72"/>
      <c r="M52" s="72"/>
      <c r="N52" s="72"/>
      <c r="O52" s="72"/>
      <c r="P52" s="72"/>
    </row>
    <row r="53" spans="1:16">
      <c r="A53" s="70"/>
      <c r="B53" s="167"/>
      <c r="C53" s="70"/>
      <c r="D53" s="71"/>
      <c r="E53" s="72"/>
      <c r="F53" s="72"/>
      <c r="G53" s="72"/>
      <c r="H53" s="29"/>
      <c r="I53" s="29"/>
      <c r="J53" s="72"/>
      <c r="K53" s="72"/>
      <c r="L53" s="72"/>
      <c r="M53" s="72"/>
      <c r="N53" s="72"/>
      <c r="O53" s="72"/>
      <c r="P53" s="72"/>
    </row>
    <row r="54" spans="1:16">
      <c r="A54" s="70"/>
      <c r="B54" s="167"/>
      <c r="C54" s="70"/>
      <c r="D54" s="71"/>
      <c r="E54" s="72"/>
      <c r="F54" s="72"/>
      <c r="G54" s="72"/>
      <c r="H54" s="29"/>
      <c r="I54" s="29"/>
      <c r="J54" s="72"/>
      <c r="K54" s="72"/>
      <c r="L54" s="72"/>
      <c r="M54" s="72"/>
      <c r="N54" s="72"/>
      <c r="O54" s="72"/>
      <c r="P54" s="72"/>
    </row>
    <row r="55" spans="1:16">
      <c r="A55" s="70"/>
      <c r="B55" s="167"/>
      <c r="C55" s="70"/>
      <c r="D55" s="71"/>
      <c r="E55" s="72"/>
      <c r="F55" s="72"/>
      <c r="G55" s="72"/>
      <c r="H55" s="29"/>
      <c r="I55" s="29"/>
      <c r="J55" s="72"/>
      <c r="K55" s="72"/>
      <c r="L55" s="72"/>
      <c r="M55" s="72"/>
      <c r="N55" s="72"/>
      <c r="O55" s="72"/>
      <c r="P55" s="72"/>
    </row>
    <row r="56" spans="1:16">
      <c r="A56" s="70"/>
      <c r="B56" s="167"/>
      <c r="C56" s="70"/>
      <c r="D56" s="71"/>
      <c r="E56" s="72"/>
      <c r="F56" s="72"/>
      <c r="G56" s="72"/>
      <c r="H56" s="29"/>
      <c r="I56" s="29"/>
      <c r="J56" s="72"/>
      <c r="K56" s="72"/>
      <c r="L56" s="72"/>
      <c r="M56" s="72"/>
      <c r="N56" s="72"/>
      <c r="O56" s="72"/>
      <c r="P56" s="72"/>
    </row>
    <row r="57" spans="1:16">
      <c r="A57" s="70"/>
      <c r="B57" s="167"/>
      <c r="C57" s="70"/>
      <c r="D57" s="71"/>
      <c r="E57" s="72"/>
      <c r="F57" s="72"/>
      <c r="G57" s="72"/>
      <c r="H57" s="29"/>
      <c r="I57" s="29"/>
      <c r="J57" s="72"/>
      <c r="K57" s="72"/>
      <c r="L57" s="72"/>
      <c r="M57" s="72"/>
      <c r="N57" s="72"/>
      <c r="O57" s="72"/>
      <c r="P57" s="72"/>
    </row>
    <row r="58" spans="1:16">
      <c r="A58" s="70"/>
      <c r="B58" s="167"/>
      <c r="C58" s="70"/>
      <c r="D58" s="71"/>
      <c r="E58" s="72"/>
      <c r="F58" s="72"/>
      <c r="G58" s="72"/>
      <c r="H58" s="29"/>
      <c r="I58" s="29"/>
      <c r="J58" s="72"/>
      <c r="K58" s="72"/>
      <c r="L58" s="72"/>
      <c r="M58" s="72"/>
      <c r="N58" s="72"/>
      <c r="O58" s="72"/>
      <c r="P58" s="72"/>
    </row>
    <row r="59" spans="1:16">
      <c r="A59" s="70"/>
      <c r="B59" s="167"/>
      <c r="C59" s="70"/>
      <c r="D59" s="71"/>
      <c r="E59" s="72"/>
      <c r="F59" s="72"/>
      <c r="G59" s="72"/>
      <c r="H59" s="29"/>
      <c r="I59" s="29"/>
      <c r="J59" s="72"/>
      <c r="K59" s="72"/>
      <c r="L59" s="72"/>
      <c r="M59" s="72"/>
      <c r="N59" s="72"/>
      <c r="O59" s="72"/>
      <c r="P59" s="72"/>
    </row>
    <row r="60" spans="1:16">
      <c r="A60" s="70"/>
      <c r="B60" s="167"/>
      <c r="C60" s="70"/>
      <c r="D60" s="71"/>
      <c r="E60" s="72"/>
      <c r="F60" s="72"/>
      <c r="G60" s="72"/>
      <c r="H60" s="29"/>
      <c r="I60" s="29"/>
      <c r="J60" s="72"/>
      <c r="K60" s="72"/>
      <c r="L60" s="72"/>
      <c r="M60" s="72"/>
      <c r="N60" s="72"/>
      <c r="O60" s="72"/>
      <c r="P60" s="72"/>
    </row>
    <row r="61" spans="1:16">
      <c r="A61" s="70"/>
      <c r="B61" s="167"/>
      <c r="C61" s="70"/>
      <c r="D61" s="71"/>
      <c r="E61" s="72"/>
      <c r="F61" s="72"/>
      <c r="G61" s="72"/>
      <c r="H61" s="29"/>
      <c r="I61" s="29"/>
      <c r="J61" s="72"/>
      <c r="K61" s="72"/>
      <c r="L61" s="72"/>
      <c r="M61" s="72"/>
      <c r="N61" s="72"/>
      <c r="O61" s="72"/>
      <c r="P61" s="72"/>
    </row>
    <row r="62" spans="1:16">
      <c r="A62" s="70"/>
      <c r="B62" s="167"/>
      <c r="C62" s="70"/>
      <c r="D62" s="71"/>
      <c r="E62" s="72"/>
      <c r="F62" s="72"/>
      <c r="G62" s="72"/>
      <c r="H62" s="29"/>
      <c r="I62" s="29"/>
      <c r="J62" s="72"/>
      <c r="K62" s="72"/>
      <c r="L62" s="72"/>
      <c r="M62" s="72"/>
      <c r="N62" s="72"/>
      <c r="O62" s="72"/>
      <c r="P62" s="72"/>
    </row>
    <row r="63" spans="1:16">
      <c r="A63" s="70"/>
      <c r="B63" s="167"/>
      <c r="C63" s="70"/>
      <c r="D63" s="71"/>
      <c r="E63" s="72"/>
      <c r="F63" s="72"/>
      <c r="G63" s="72"/>
      <c r="H63" s="29"/>
      <c r="I63" s="29"/>
      <c r="J63" s="72"/>
      <c r="K63" s="72"/>
      <c r="L63" s="72"/>
      <c r="M63" s="72"/>
      <c r="N63" s="72"/>
      <c r="O63" s="72"/>
      <c r="P63" s="72"/>
    </row>
    <row r="64" spans="1:16">
      <c r="A64" s="70"/>
      <c r="B64" s="167"/>
      <c r="C64" s="70"/>
      <c r="D64" s="71"/>
      <c r="E64" s="72"/>
      <c r="F64" s="72"/>
      <c r="G64" s="72"/>
      <c r="H64" s="29"/>
      <c r="I64" s="29"/>
      <c r="J64" s="72"/>
      <c r="K64" s="72"/>
      <c r="L64" s="72"/>
      <c r="M64" s="72"/>
      <c r="N64" s="72"/>
      <c r="O64" s="72"/>
      <c r="P64" s="72"/>
    </row>
    <row r="65" spans="1:16">
      <c r="A65" s="70"/>
      <c r="B65" s="167"/>
      <c r="C65" s="70"/>
      <c r="D65" s="71"/>
      <c r="E65" s="72"/>
      <c r="F65" s="72"/>
      <c r="G65" s="72"/>
      <c r="H65" s="29"/>
      <c r="I65" s="29"/>
      <c r="J65" s="72"/>
      <c r="K65" s="72"/>
      <c r="L65" s="72"/>
      <c r="M65" s="72"/>
      <c r="N65" s="72"/>
      <c r="O65" s="72"/>
      <c r="P65" s="72"/>
    </row>
    <row r="66" spans="1:16">
      <c r="A66" s="70"/>
      <c r="B66" s="167"/>
      <c r="C66" s="70"/>
      <c r="D66" s="71"/>
      <c r="E66" s="72"/>
      <c r="F66" s="72"/>
      <c r="G66" s="72"/>
      <c r="H66" s="29"/>
      <c r="I66" s="29"/>
      <c r="J66" s="72"/>
      <c r="K66" s="72"/>
      <c r="L66" s="72"/>
      <c r="M66" s="72"/>
      <c r="N66" s="72"/>
      <c r="O66" s="72"/>
      <c r="P66" s="72"/>
    </row>
    <row r="67" spans="1:16">
      <c r="A67" s="70"/>
      <c r="B67" s="167"/>
      <c r="C67" s="70"/>
      <c r="D67" s="71"/>
      <c r="E67" s="72"/>
      <c r="F67" s="72"/>
      <c r="G67" s="72"/>
      <c r="H67" s="29"/>
      <c r="I67" s="29"/>
      <c r="J67" s="72"/>
      <c r="K67" s="72"/>
      <c r="L67" s="72"/>
      <c r="M67" s="72"/>
      <c r="N67" s="72"/>
      <c r="O67" s="72"/>
      <c r="P67" s="72"/>
    </row>
    <row r="68" spans="1:16">
      <c r="A68" s="70"/>
      <c r="B68" s="167"/>
      <c r="C68" s="70"/>
      <c r="D68" s="71"/>
      <c r="E68" s="72"/>
      <c r="F68" s="72"/>
      <c r="G68" s="72"/>
      <c r="H68" s="29"/>
      <c r="I68" s="29"/>
      <c r="J68" s="72"/>
      <c r="K68" s="72"/>
      <c r="L68" s="72"/>
      <c r="M68" s="72"/>
      <c r="N68" s="72"/>
      <c r="O68" s="72"/>
      <c r="P68" s="72"/>
    </row>
    <row r="69" spans="1:16">
      <c r="A69" s="70"/>
      <c r="B69" s="167"/>
      <c r="C69" s="70"/>
      <c r="D69" s="71"/>
      <c r="E69" s="72"/>
      <c r="F69" s="72"/>
      <c r="G69" s="72"/>
      <c r="H69" s="29"/>
      <c r="I69" s="29"/>
      <c r="J69" s="72"/>
      <c r="K69" s="72"/>
      <c r="L69" s="72"/>
      <c r="M69" s="72"/>
      <c r="N69" s="72"/>
      <c r="O69" s="72"/>
      <c r="P69" s="72"/>
    </row>
    <row r="70" spans="1:16">
      <c r="A70" s="70"/>
      <c r="B70" s="167"/>
      <c r="C70" s="70"/>
      <c r="D70" s="71"/>
      <c r="E70" s="72"/>
      <c r="F70" s="72"/>
      <c r="G70" s="72"/>
      <c r="H70" s="29"/>
      <c r="I70" s="29"/>
      <c r="J70" s="72"/>
      <c r="K70" s="72"/>
      <c r="L70" s="72"/>
      <c r="M70" s="72"/>
      <c r="N70" s="72"/>
      <c r="O70" s="72"/>
      <c r="P70" s="72"/>
    </row>
    <row r="71" spans="1:16">
      <c r="A71" s="70"/>
      <c r="B71" s="167"/>
      <c r="C71" s="70"/>
      <c r="D71" s="71"/>
      <c r="E71" s="72"/>
      <c r="F71" s="72"/>
      <c r="G71" s="72"/>
      <c r="H71" s="29"/>
      <c r="I71" s="29"/>
      <c r="J71" s="72"/>
      <c r="K71" s="72"/>
      <c r="L71" s="72"/>
      <c r="M71" s="72"/>
      <c r="N71" s="72"/>
      <c r="O71" s="72"/>
      <c r="P71" s="72"/>
    </row>
    <row r="72" spans="1:16">
      <c r="A72" s="70"/>
      <c r="B72" s="167"/>
      <c r="C72" s="70"/>
      <c r="D72" s="71"/>
      <c r="E72" s="72"/>
      <c r="F72" s="72"/>
      <c r="G72" s="72"/>
      <c r="H72" s="29"/>
      <c r="I72" s="29"/>
      <c r="J72" s="72"/>
      <c r="K72" s="72"/>
      <c r="L72" s="72"/>
      <c r="M72" s="72"/>
      <c r="N72" s="72"/>
      <c r="O72" s="72"/>
      <c r="P72" s="72"/>
    </row>
    <row r="73" spans="1:16">
      <c r="A73" s="70"/>
      <c r="B73" s="167"/>
      <c r="C73" s="70"/>
      <c r="D73" s="71"/>
      <c r="E73" s="72"/>
      <c r="F73" s="72"/>
      <c r="G73" s="72"/>
      <c r="H73" s="29"/>
      <c r="I73" s="29"/>
      <c r="J73" s="72"/>
      <c r="K73" s="72"/>
      <c r="L73" s="72"/>
      <c r="M73" s="72"/>
      <c r="N73" s="72"/>
      <c r="O73" s="72"/>
      <c r="P73" s="72"/>
    </row>
    <row r="74" spans="1:16">
      <c r="A74" s="70"/>
      <c r="B74" s="167"/>
      <c r="C74" s="70"/>
      <c r="D74" s="71"/>
      <c r="E74" s="72"/>
      <c r="F74" s="72"/>
      <c r="G74" s="72"/>
      <c r="H74" s="29"/>
      <c r="I74" s="29"/>
      <c r="J74" s="72"/>
      <c r="K74" s="72"/>
      <c r="L74" s="72"/>
      <c r="M74" s="72"/>
      <c r="N74" s="72"/>
      <c r="O74" s="72"/>
      <c r="P74" s="72"/>
    </row>
    <row r="75" spans="1:16">
      <c r="A75" s="70"/>
      <c r="B75" s="167"/>
      <c r="C75" s="70"/>
      <c r="D75" s="71"/>
      <c r="E75" s="72"/>
      <c r="F75" s="72"/>
      <c r="G75" s="72"/>
      <c r="H75" s="29"/>
      <c r="I75" s="29"/>
      <c r="J75" s="72"/>
      <c r="K75" s="72"/>
      <c r="L75" s="72"/>
      <c r="M75" s="72"/>
      <c r="N75" s="72"/>
      <c r="O75" s="72"/>
      <c r="P75" s="72"/>
    </row>
    <row r="76" spans="1:16">
      <c r="A76" s="70"/>
      <c r="B76" s="167"/>
      <c r="C76" s="70"/>
      <c r="D76" s="71"/>
      <c r="E76" s="72"/>
      <c r="F76" s="72"/>
      <c r="G76" s="72"/>
      <c r="H76" s="29"/>
      <c r="I76" s="29"/>
      <c r="J76" s="72"/>
      <c r="K76" s="72"/>
      <c r="L76" s="72"/>
      <c r="M76" s="72"/>
      <c r="N76" s="72"/>
      <c r="O76" s="72"/>
      <c r="P76" s="72"/>
    </row>
    <row r="77" spans="1:16">
      <c r="A77" s="70"/>
      <c r="B77" s="167"/>
      <c r="C77" s="70"/>
      <c r="D77" s="71"/>
      <c r="E77" s="72"/>
      <c r="F77" s="72"/>
      <c r="G77" s="72"/>
      <c r="H77" s="29"/>
      <c r="I77" s="29"/>
      <c r="J77" s="72"/>
      <c r="K77" s="72"/>
      <c r="L77" s="72"/>
      <c r="M77" s="72"/>
      <c r="N77" s="72"/>
      <c r="O77" s="72"/>
      <c r="P77" s="72"/>
    </row>
    <row r="78" spans="1:16">
      <c r="A78" s="70"/>
      <c r="B78" s="167"/>
      <c r="C78" s="70"/>
      <c r="D78" s="71"/>
      <c r="E78" s="72"/>
      <c r="F78" s="72"/>
      <c r="G78" s="72"/>
      <c r="H78" s="29"/>
      <c r="I78" s="29"/>
      <c r="J78" s="72"/>
      <c r="K78" s="72"/>
      <c r="L78" s="72"/>
      <c r="M78" s="72"/>
      <c r="N78" s="72"/>
      <c r="O78" s="72"/>
      <c r="P78" s="72"/>
    </row>
    <row r="79" spans="1:16">
      <c r="A79" s="70"/>
      <c r="B79" s="167"/>
      <c r="C79" s="70"/>
      <c r="D79" s="71"/>
      <c r="E79" s="72"/>
      <c r="F79" s="72"/>
      <c r="G79" s="72"/>
      <c r="H79" s="29"/>
      <c r="I79" s="29"/>
      <c r="J79" s="72"/>
      <c r="K79" s="72"/>
      <c r="L79" s="72"/>
      <c r="M79" s="72"/>
      <c r="N79" s="72"/>
      <c r="O79" s="72"/>
      <c r="P79" s="72"/>
    </row>
    <row r="80" spans="1:16">
      <c r="A80" s="70"/>
      <c r="B80" s="167"/>
      <c r="C80" s="70"/>
      <c r="D80" s="71"/>
      <c r="E80" s="72"/>
      <c r="F80" s="72"/>
      <c r="G80" s="72"/>
      <c r="H80" s="29"/>
      <c r="I80" s="29"/>
      <c r="J80" s="72"/>
      <c r="K80" s="72"/>
      <c r="L80" s="72"/>
      <c r="M80" s="72"/>
      <c r="N80" s="72"/>
      <c r="O80" s="72"/>
      <c r="P80" s="72"/>
    </row>
    <row r="81" spans="1:16">
      <c r="A81" s="70"/>
      <c r="B81" s="167"/>
      <c r="C81" s="70"/>
      <c r="D81" s="71"/>
      <c r="E81" s="72"/>
      <c r="F81" s="72"/>
      <c r="G81" s="72"/>
      <c r="H81" s="29"/>
      <c r="I81" s="29"/>
      <c r="J81" s="72"/>
      <c r="K81" s="72"/>
      <c r="L81" s="72"/>
      <c r="M81" s="72"/>
      <c r="N81" s="72"/>
      <c r="O81" s="72"/>
      <c r="P81" s="72"/>
    </row>
    <row r="82" spans="1:16">
      <c r="A82" s="70"/>
      <c r="B82" s="167"/>
      <c r="C82" s="70"/>
      <c r="D82" s="71"/>
      <c r="E82" s="72"/>
      <c r="F82" s="72"/>
      <c r="G82" s="72"/>
      <c r="H82" s="29"/>
      <c r="I82" s="29"/>
      <c r="J82" s="72"/>
      <c r="K82" s="72"/>
      <c r="L82" s="72"/>
      <c r="M82" s="72"/>
      <c r="N82" s="72"/>
      <c r="O82" s="72"/>
      <c r="P82" s="72"/>
    </row>
    <row r="83" spans="1:16">
      <c r="A83" s="70"/>
      <c r="B83" s="167"/>
      <c r="C83" s="70"/>
      <c r="D83" s="71"/>
      <c r="E83" s="72"/>
      <c r="F83" s="72"/>
      <c r="G83" s="72"/>
      <c r="H83" s="29"/>
      <c r="I83" s="29"/>
      <c r="J83" s="72"/>
      <c r="K83" s="72"/>
      <c r="L83" s="72"/>
      <c r="M83" s="72"/>
      <c r="N83" s="72"/>
      <c r="O83" s="72"/>
      <c r="P83" s="72"/>
    </row>
    <row r="84" spans="1:16">
      <c r="A84" s="70"/>
      <c r="B84" s="167"/>
      <c r="C84" s="70"/>
      <c r="D84" s="71"/>
      <c r="E84" s="72"/>
      <c r="F84" s="72"/>
      <c r="G84" s="72"/>
      <c r="H84" s="29"/>
      <c r="I84" s="29"/>
      <c r="J84" s="72"/>
      <c r="K84" s="72"/>
      <c r="L84" s="72"/>
      <c r="M84" s="72"/>
      <c r="N84" s="72"/>
      <c r="O84" s="72"/>
      <c r="P84" s="72"/>
    </row>
    <row r="85" spans="1:16">
      <c r="A85" s="70"/>
      <c r="B85" s="167"/>
      <c r="C85" s="70"/>
      <c r="D85" s="71"/>
      <c r="E85" s="72"/>
      <c r="F85" s="72"/>
      <c r="G85" s="72"/>
      <c r="H85" s="29"/>
      <c r="I85" s="29"/>
      <c r="J85" s="72"/>
      <c r="K85" s="72"/>
      <c r="L85" s="72"/>
      <c r="M85" s="72"/>
      <c r="N85" s="72"/>
      <c r="O85" s="72"/>
      <c r="P85" s="72"/>
    </row>
    <row r="86" spans="1:16">
      <c r="A86" s="70"/>
      <c r="B86" s="167"/>
      <c r="C86" s="70"/>
      <c r="D86" s="71"/>
      <c r="E86" s="72"/>
      <c r="F86" s="72"/>
      <c r="G86" s="72"/>
      <c r="H86" s="29"/>
      <c r="I86" s="29"/>
      <c r="J86" s="72"/>
      <c r="K86" s="72"/>
      <c r="L86" s="72"/>
      <c r="M86" s="72"/>
      <c r="N86" s="72"/>
      <c r="O86" s="72"/>
      <c r="P86" s="72"/>
    </row>
    <row r="87" spans="1:16">
      <c r="A87" s="70"/>
      <c r="B87" s="167"/>
      <c r="C87" s="70"/>
      <c r="D87" s="71"/>
      <c r="E87" s="72"/>
      <c r="F87" s="72"/>
      <c r="G87" s="72"/>
      <c r="H87" s="29"/>
      <c r="I87" s="29"/>
      <c r="J87" s="72"/>
      <c r="K87" s="72"/>
      <c r="L87" s="72"/>
      <c r="M87" s="72"/>
      <c r="N87" s="72"/>
      <c r="O87" s="72"/>
      <c r="P87" s="72"/>
    </row>
    <row r="88" spans="1:16">
      <c r="A88" s="70"/>
      <c r="B88" s="167"/>
      <c r="C88" s="70"/>
      <c r="D88" s="71"/>
      <c r="E88" s="72"/>
      <c r="F88" s="72"/>
      <c r="G88" s="72"/>
      <c r="H88" s="29"/>
      <c r="I88" s="29"/>
      <c r="J88" s="72"/>
      <c r="K88" s="72"/>
      <c r="L88" s="72"/>
      <c r="M88" s="72"/>
      <c r="N88" s="72"/>
      <c r="O88" s="72"/>
      <c r="P88" s="72"/>
    </row>
    <row r="89" spans="1:16">
      <c r="A89" s="70"/>
      <c r="B89" s="167"/>
      <c r="C89" s="70"/>
      <c r="D89" s="71"/>
      <c r="E89" s="72"/>
      <c r="F89" s="72"/>
      <c r="G89" s="72"/>
      <c r="H89" s="29"/>
      <c r="I89" s="29"/>
      <c r="J89" s="72"/>
      <c r="K89" s="72"/>
      <c r="L89" s="72"/>
      <c r="M89" s="72"/>
      <c r="N89" s="72"/>
      <c r="O89" s="72"/>
      <c r="P89" s="72"/>
    </row>
    <row r="90" spans="1:16">
      <c r="A90" s="70"/>
      <c r="B90" s="167"/>
      <c r="C90" s="70"/>
      <c r="D90" s="71"/>
      <c r="E90" s="72"/>
      <c r="F90" s="72"/>
      <c r="G90" s="72"/>
      <c r="H90" s="29"/>
      <c r="I90" s="29"/>
      <c r="J90" s="72"/>
      <c r="K90" s="72"/>
      <c r="L90" s="72"/>
      <c r="M90" s="72"/>
      <c r="N90" s="72"/>
      <c r="O90" s="72"/>
      <c r="P90" s="72"/>
    </row>
    <row r="91" spans="1:16">
      <c r="A91" s="70"/>
      <c r="B91" s="167"/>
      <c r="C91" s="70"/>
      <c r="D91" s="71"/>
      <c r="E91" s="72"/>
      <c r="F91" s="72"/>
      <c r="G91" s="72"/>
      <c r="H91" s="29"/>
      <c r="I91" s="29"/>
      <c r="J91" s="72"/>
      <c r="K91" s="72"/>
      <c r="L91" s="72"/>
      <c r="M91" s="72"/>
      <c r="N91" s="72"/>
      <c r="O91" s="72"/>
      <c r="P91" s="72"/>
    </row>
    <row r="92" spans="1:16">
      <c r="A92" s="70"/>
      <c r="B92" s="167"/>
      <c r="C92" s="70"/>
      <c r="D92" s="71"/>
      <c r="E92" s="72"/>
      <c r="F92" s="72"/>
      <c r="G92" s="72"/>
      <c r="H92" s="29"/>
      <c r="I92" s="29"/>
      <c r="J92" s="72"/>
      <c r="K92" s="72"/>
      <c r="L92" s="72"/>
      <c r="M92" s="72"/>
      <c r="N92" s="72"/>
      <c r="O92" s="72"/>
      <c r="P92" s="72"/>
    </row>
    <row r="93" spans="1:16">
      <c r="A93" s="70"/>
      <c r="B93" s="167"/>
      <c r="C93" s="70"/>
      <c r="D93" s="71"/>
      <c r="E93" s="72"/>
      <c r="F93" s="72"/>
      <c r="G93" s="72"/>
      <c r="H93" s="29"/>
      <c r="I93" s="29"/>
      <c r="J93" s="72"/>
      <c r="K93" s="72"/>
      <c r="L93" s="72"/>
      <c r="M93" s="72"/>
      <c r="N93" s="72"/>
      <c r="O93" s="72"/>
      <c r="P93" s="72"/>
    </row>
    <row r="94" spans="1:16">
      <c r="A94" s="70"/>
      <c r="B94" s="167"/>
      <c r="C94" s="70"/>
      <c r="D94" s="71"/>
      <c r="E94" s="72"/>
      <c r="F94" s="72"/>
      <c r="G94" s="72"/>
      <c r="H94" s="29"/>
      <c r="I94" s="29"/>
      <c r="J94" s="72"/>
      <c r="K94" s="72"/>
      <c r="L94" s="72"/>
      <c r="M94" s="72"/>
      <c r="N94" s="72"/>
      <c r="O94" s="72"/>
      <c r="P94" s="72"/>
    </row>
    <row r="95" spans="1:16">
      <c r="A95" s="70"/>
      <c r="B95" s="167"/>
      <c r="C95" s="70"/>
      <c r="D95" s="71"/>
      <c r="E95" s="72"/>
      <c r="F95" s="72"/>
      <c r="G95" s="72"/>
      <c r="H95" s="29"/>
      <c r="I95" s="29"/>
      <c r="J95" s="72"/>
      <c r="K95" s="72"/>
      <c r="L95" s="72"/>
      <c r="M95" s="72"/>
      <c r="N95" s="72"/>
      <c r="O95" s="72"/>
      <c r="P95" s="72"/>
    </row>
    <row r="96" spans="1:16">
      <c r="A96" s="70"/>
      <c r="B96" s="167"/>
      <c r="C96" s="70"/>
      <c r="D96" s="71"/>
      <c r="E96" s="72"/>
      <c r="F96" s="72"/>
      <c r="G96" s="72"/>
      <c r="H96" s="29"/>
      <c r="I96" s="29"/>
      <c r="J96" s="72"/>
      <c r="K96" s="72"/>
      <c r="L96" s="72"/>
      <c r="M96" s="72"/>
      <c r="N96" s="72"/>
      <c r="O96" s="72"/>
      <c r="P96" s="72"/>
    </row>
    <row r="97" spans="1:16">
      <c r="A97" s="70"/>
      <c r="B97" s="167"/>
      <c r="C97" s="70"/>
      <c r="D97" s="71"/>
      <c r="E97" s="72"/>
      <c r="F97" s="72"/>
      <c r="G97" s="72"/>
      <c r="H97" s="29"/>
      <c r="I97" s="29"/>
      <c r="J97" s="72"/>
      <c r="K97" s="72"/>
      <c r="L97" s="72"/>
      <c r="M97" s="72"/>
      <c r="N97" s="72"/>
      <c r="O97" s="72"/>
      <c r="P97" s="72"/>
    </row>
    <row r="98" spans="1:16">
      <c r="A98" s="70"/>
      <c r="B98" s="167"/>
      <c r="C98" s="70"/>
      <c r="D98" s="71"/>
      <c r="E98" s="72"/>
      <c r="F98" s="72"/>
      <c r="G98" s="72"/>
      <c r="H98" s="29"/>
      <c r="I98" s="29"/>
      <c r="J98" s="72"/>
      <c r="K98" s="72"/>
      <c r="L98" s="72"/>
      <c r="M98" s="72"/>
      <c r="N98" s="72"/>
      <c r="O98" s="72"/>
      <c r="P98" s="72"/>
    </row>
    <row r="99" spans="1:16">
      <c r="A99" s="70"/>
      <c r="B99" s="167"/>
      <c r="C99" s="70"/>
      <c r="D99" s="71"/>
      <c r="E99" s="72"/>
      <c r="F99" s="72"/>
      <c r="G99" s="72"/>
      <c r="H99" s="29"/>
      <c r="I99" s="29"/>
      <c r="J99" s="72"/>
      <c r="K99" s="72"/>
      <c r="L99" s="72"/>
      <c r="M99" s="72"/>
      <c r="N99" s="72"/>
      <c r="O99" s="72"/>
      <c r="P99" s="72"/>
    </row>
    <row r="100" spans="1:16">
      <c r="A100" s="70"/>
      <c r="B100" s="167"/>
      <c r="C100" s="70"/>
      <c r="D100" s="71"/>
      <c r="E100" s="72"/>
      <c r="F100" s="72"/>
      <c r="G100" s="72"/>
      <c r="H100" s="29"/>
      <c r="I100" s="29"/>
      <c r="J100" s="72"/>
      <c r="K100" s="72"/>
      <c r="L100" s="72"/>
      <c r="M100" s="72"/>
      <c r="N100" s="72"/>
      <c r="O100" s="72"/>
      <c r="P100" s="72"/>
    </row>
    <row r="101" spans="1:16">
      <c r="A101" s="70"/>
      <c r="B101" s="167"/>
      <c r="C101" s="70"/>
      <c r="D101" s="71"/>
      <c r="E101" s="72"/>
      <c r="F101" s="72"/>
      <c r="G101" s="72"/>
      <c r="H101" s="29"/>
      <c r="I101" s="29"/>
      <c r="J101" s="72"/>
      <c r="K101" s="72"/>
      <c r="L101" s="72"/>
      <c r="M101" s="72"/>
      <c r="N101" s="72"/>
      <c r="O101" s="72"/>
      <c r="P101" s="72"/>
    </row>
    <row r="102" spans="1:16">
      <c r="A102" s="70"/>
      <c r="B102" s="167"/>
      <c r="C102" s="70"/>
      <c r="D102" s="71"/>
      <c r="E102" s="72"/>
      <c r="F102" s="72"/>
      <c r="G102" s="72"/>
      <c r="H102" s="29"/>
      <c r="I102" s="29"/>
      <c r="J102" s="72"/>
      <c r="K102" s="72"/>
      <c r="L102" s="72"/>
      <c r="M102" s="72"/>
      <c r="N102" s="72"/>
      <c r="O102" s="72"/>
      <c r="P102" s="72"/>
    </row>
    <row r="103" spans="1:16">
      <c r="A103" s="70"/>
      <c r="B103" s="167"/>
      <c r="C103" s="70"/>
      <c r="D103" s="71"/>
      <c r="E103" s="72"/>
      <c r="F103" s="72"/>
      <c r="G103" s="72"/>
      <c r="H103" s="29"/>
      <c r="I103" s="29"/>
      <c r="J103" s="72"/>
      <c r="K103" s="72"/>
      <c r="L103" s="72"/>
      <c r="M103" s="72"/>
      <c r="N103" s="72"/>
      <c r="O103" s="72"/>
      <c r="P103" s="72"/>
    </row>
    <row r="104" spans="1:16">
      <c r="A104" s="70"/>
      <c r="B104" s="167"/>
      <c r="C104" s="70"/>
      <c r="D104" s="71"/>
      <c r="E104" s="72"/>
      <c r="F104" s="72"/>
      <c r="G104" s="72"/>
      <c r="H104" s="29"/>
      <c r="I104" s="29"/>
      <c r="J104" s="72"/>
      <c r="K104" s="72"/>
      <c r="L104" s="72"/>
      <c r="M104" s="72"/>
      <c r="N104" s="72"/>
      <c r="O104" s="72"/>
      <c r="P104" s="72"/>
    </row>
    <row r="105" spans="1:16">
      <c r="A105" s="70"/>
      <c r="B105" s="167"/>
      <c r="C105" s="70"/>
      <c r="D105" s="71"/>
      <c r="E105" s="72"/>
      <c r="F105" s="72"/>
      <c r="G105" s="72"/>
      <c r="H105" s="29"/>
      <c r="I105" s="29"/>
      <c r="J105" s="72"/>
      <c r="K105" s="72"/>
      <c r="L105" s="72"/>
      <c r="M105" s="72"/>
      <c r="N105" s="72"/>
      <c r="O105" s="72"/>
      <c r="P105" s="72"/>
    </row>
    <row r="106" spans="1:16">
      <c r="A106" s="70"/>
      <c r="B106" s="167"/>
      <c r="C106" s="70"/>
      <c r="D106" s="71"/>
      <c r="E106" s="72"/>
      <c r="F106" s="72"/>
      <c r="G106" s="72"/>
      <c r="H106" s="29"/>
      <c r="I106" s="29"/>
      <c r="J106" s="72"/>
      <c r="K106" s="72"/>
      <c r="L106" s="72"/>
      <c r="M106" s="72"/>
      <c r="N106" s="72"/>
      <c r="O106" s="72"/>
      <c r="P106" s="72"/>
    </row>
    <row r="107" spans="1:16">
      <c r="A107" s="70"/>
      <c r="B107" s="167"/>
      <c r="C107" s="70"/>
      <c r="D107" s="71"/>
      <c r="E107" s="72"/>
      <c r="F107" s="72"/>
      <c r="G107" s="72"/>
      <c r="H107" s="29"/>
      <c r="I107" s="29"/>
      <c r="J107" s="72"/>
      <c r="K107" s="72"/>
      <c r="L107" s="72"/>
      <c r="M107" s="72"/>
      <c r="N107" s="72"/>
      <c r="O107" s="72"/>
      <c r="P107" s="72"/>
    </row>
    <row r="108" spans="1:16">
      <c r="A108" s="70"/>
      <c r="B108" s="167"/>
      <c r="C108" s="70"/>
      <c r="D108" s="71"/>
      <c r="E108" s="72"/>
      <c r="F108" s="72"/>
      <c r="G108" s="72"/>
      <c r="H108" s="29"/>
      <c r="I108" s="29"/>
      <c r="J108" s="72"/>
      <c r="K108" s="72"/>
      <c r="L108" s="72"/>
      <c r="M108" s="72"/>
      <c r="N108" s="72"/>
      <c r="O108" s="72"/>
      <c r="P108" s="72"/>
    </row>
    <row r="109" spans="1:16">
      <c r="A109" s="70"/>
      <c r="B109" s="167"/>
      <c r="C109" s="70"/>
      <c r="D109" s="71"/>
      <c r="E109" s="72"/>
      <c r="F109" s="72"/>
      <c r="G109" s="72"/>
      <c r="H109" s="29"/>
      <c r="I109" s="29"/>
      <c r="J109" s="72"/>
      <c r="K109" s="72"/>
      <c r="L109" s="72"/>
      <c r="M109" s="72"/>
      <c r="N109" s="72"/>
      <c r="O109" s="72"/>
      <c r="P109" s="72"/>
    </row>
    <row r="110" spans="1:16">
      <c r="A110" s="70"/>
      <c r="B110" s="167"/>
      <c r="C110" s="70"/>
      <c r="D110" s="71"/>
      <c r="E110" s="72"/>
      <c r="F110" s="72"/>
      <c r="G110" s="72"/>
      <c r="H110" s="29"/>
      <c r="I110" s="29"/>
      <c r="J110" s="72"/>
      <c r="K110" s="72"/>
      <c r="L110" s="72"/>
      <c r="M110" s="72"/>
      <c r="N110" s="72"/>
      <c r="O110" s="72"/>
      <c r="P110" s="72"/>
    </row>
    <row r="111" spans="1:16">
      <c r="A111" s="70"/>
      <c r="B111" s="167"/>
      <c r="C111" s="70"/>
      <c r="D111" s="71"/>
      <c r="E111" s="72"/>
      <c r="F111" s="72"/>
      <c r="G111" s="72"/>
      <c r="H111" s="29"/>
      <c r="I111" s="29"/>
      <c r="J111" s="72"/>
      <c r="K111" s="72"/>
      <c r="L111" s="72"/>
      <c r="M111" s="72"/>
      <c r="N111" s="72"/>
      <c r="O111" s="72"/>
      <c r="P111" s="72"/>
    </row>
    <row r="112" spans="1:16">
      <c r="A112" s="70"/>
      <c r="B112" s="167"/>
      <c r="C112" s="70"/>
      <c r="D112" s="71"/>
      <c r="E112" s="72"/>
      <c r="F112" s="72"/>
      <c r="G112" s="72"/>
      <c r="H112" s="29"/>
      <c r="I112" s="29"/>
      <c r="J112" s="72"/>
      <c r="K112" s="72"/>
      <c r="L112" s="72"/>
      <c r="M112" s="72"/>
      <c r="N112" s="72"/>
      <c r="O112" s="72"/>
      <c r="P112" s="72"/>
    </row>
    <row r="113" spans="1:16">
      <c r="A113" s="70"/>
      <c r="B113" s="167"/>
      <c r="C113" s="70"/>
      <c r="D113" s="71"/>
      <c r="E113" s="72"/>
      <c r="F113" s="72"/>
      <c r="G113" s="72"/>
      <c r="H113" s="29"/>
      <c r="I113" s="29"/>
      <c r="J113" s="72"/>
      <c r="K113" s="72"/>
      <c r="L113" s="72"/>
      <c r="M113" s="72"/>
      <c r="N113" s="72"/>
      <c r="O113" s="72"/>
      <c r="P113" s="72"/>
    </row>
    <row r="114" spans="1:16">
      <c r="A114" s="70"/>
      <c r="B114" s="167"/>
      <c r="C114" s="70"/>
      <c r="D114" s="71"/>
      <c r="E114" s="72"/>
      <c r="F114" s="72"/>
      <c r="G114" s="72"/>
      <c r="H114" s="29"/>
      <c r="I114" s="29"/>
      <c r="J114" s="72"/>
      <c r="K114" s="72"/>
      <c r="L114" s="72"/>
      <c r="M114" s="72"/>
      <c r="N114" s="72"/>
      <c r="O114" s="72"/>
      <c r="P114" s="72"/>
    </row>
    <row r="115" spans="1:16">
      <c r="A115" s="70"/>
      <c r="B115" s="167"/>
      <c r="C115" s="70"/>
      <c r="D115" s="71"/>
      <c r="E115" s="72"/>
      <c r="F115" s="72"/>
      <c r="G115" s="72"/>
      <c r="H115" s="29"/>
      <c r="I115" s="29"/>
      <c r="J115" s="72"/>
      <c r="K115" s="72"/>
      <c r="L115" s="72"/>
      <c r="M115" s="72"/>
      <c r="N115" s="72"/>
      <c r="O115" s="72"/>
      <c r="P115" s="72"/>
    </row>
    <row r="116" spans="1:16">
      <c r="A116" s="70"/>
      <c r="B116" s="167"/>
      <c r="C116" s="70"/>
      <c r="D116" s="71"/>
      <c r="E116" s="72"/>
      <c r="F116" s="72"/>
      <c r="G116" s="72"/>
      <c r="H116" s="29"/>
      <c r="I116" s="29"/>
      <c r="J116" s="72"/>
      <c r="K116" s="72"/>
      <c r="L116" s="72"/>
      <c r="M116" s="72"/>
      <c r="N116" s="72"/>
      <c r="O116" s="72"/>
      <c r="P116" s="72"/>
    </row>
    <row r="117" spans="1:16">
      <c r="A117" s="70"/>
      <c r="B117" s="167"/>
      <c r="C117" s="70"/>
      <c r="D117" s="71"/>
      <c r="E117" s="72"/>
      <c r="F117" s="72"/>
      <c r="G117" s="72"/>
      <c r="H117" s="29"/>
      <c r="I117" s="29"/>
      <c r="J117" s="72"/>
      <c r="K117" s="72"/>
      <c r="L117" s="72"/>
      <c r="M117" s="72"/>
      <c r="N117" s="72"/>
      <c r="O117" s="72"/>
      <c r="P117" s="72"/>
    </row>
    <row r="118" spans="1:16">
      <c r="A118" s="70"/>
      <c r="B118" s="167"/>
      <c r="C118" s="70"/>
      <c r="D118" s="71"/>
      <c r="E118" s="72"/>
      <c r="F118" s="72"/>
      <c r="G118" s="72"/>
      <c r="H118" s="29"/>
      <c r="I118" s="29"/>
      <c r="J118" s="72"/>
      <c r="K118" s="72"/>
      <c r="L118" s="72"/>
      <c r="M118" s="72"/>
      <c r="N118" s="72"/>
      <c r="O118" s="72"/>
      <c r="P118" s="72"/>
    </row>
    <row r="119" spans="1:16">
      <c r="A119" s="70"/>
      <c r="B119" s="167"/>
      <c r="C119" s="70"/>
      <c r="D119" s="71"/>
      <c r="E119" s="72"/>
      <c r="F119" s="72"/>
      <c r="G119" s="72"/>
      <c r="H119" s="29"/>
      <c r="I119" s="29"/>
      <c r="J119" s="72"/>
      <c r="K119" s="72"/>
      <c r="L119" s="72"/>
      <c r="M119" s="72"/>
      <c r="N119" s="72"/>
      <c r="O119" s="72"/>
      <c r="P119" s="72"/>
    </row>
    <row r="120" spans="1:16">
      <c r="A120" s="70"/>
      <c r="B120" s="167"/>
      <c r="C120" s="70"/>
      <c r="D120" s="71"/>
      <c r="E120" s="72"/>
      <c r="F120" s="72"/>
      <c r="G120" s="72"/>
      <c r="H120" s="29"/>
      <c r="I120" s="29"/>
      <c r="J120" s="72"/>
      <c r="K120" s="72"/>
      <c r="L120" s="72"/>
      <c r="M120" s="72"/>
      <c r="N120" s="72"/>
      <c r="O120" s="72"/>
      <c r="P120" s="72"/>
    </row>
    <row r="121" spans="1:16">
      <c r="A121" s="70"/>
      <c r="B121" s="167"/>
      <c r="C121" s="70"/>
      <c r="D121" s="71"/>
      <c r="E121" s="72"/>
      <c r="F121" s="72"/>
      <c r="G121" s="72"/>
      <c r="H121" s="29"/>
      <c r="I121" s="29"/>
      <c r="J121" s="72"/>
      <c r="K121" s="72"/>
      <c r="L121" s="72"/>
      <c r="M121" s="72"/>
      <c r="N121" s="72"/>
      <c r="O121" s="72"/>
      <c r="P121" s="72"/>
    </row>
    <row r="122" spans="1:16">
      <c r="A122" s="70"/>
      <c r="B122" s="167"/>
      <c r="C122" s="70"/>
      <c r="D122" s="71"/>
      <c r="E122" s="72"/>
      <c r="F122" s="72"/>
      <c r="G122" s="72"/>
      <c r="H122" s="29"/>
      <c r="I122" s="29"/>
      <c r="J122" s="72"/>
      <c r="K122" s="72"/>
      <c r="L122" s="72"/>
      <c r="M122" s="72"/>
      <c r="N122" s="72"/>
      <c r="O122" s="72"/>
      <c r="P122" s="72"/>
    </row>
    <row r="123" spans="1:16">
      <c r="A123" s="70"/>
      <c r="B123" s="167"/>
      <c r="C123" s="70"/>
      <c r="D123" s="71"/>
      <c r="E123" s="72"/>
      <c r="F123" s="72"/>
      <c r="G123" s="72"/>
      <c r="H123" s="29"/>
      <c r="I123" s="29"/>
      <c r="J123" s="72"/>
      <c r="K123" s="72"/>
      <c r="L123" s="72"/>
      <c r="M123" s="72"/>
      <c r="N123" s="72"/>
      <c r="O123" s="72"/>
      <c r="P123" s="72"/>
    </row>
    <row r="124" spans="1:16">
      <c r="A124" s="70"/>
      <c r="B124" s="167"/>
      <c r="C124" s="70"/>
      <c r="D124" s="71"/>
      <c r="E124" s="72"/>
      <c r="F124" s="72"/>
      <c r="G124" s="72"/>
      <c r="H124" s="29"/>
      <c r="I124" s="29"/>
      <c r="J124" s="72"/>
      <c r="K124" s="72"/>
      <c r="L124" s="72"/>
      <c r="M124" s="72"/>
      <c r="N124" s="72"/>
      <c r="O124" s="72"/>
      <c r="P124" s="72"/>
    </row>
    <row r="125" spans="1:16">
      <c r="A125" s="70"/>
      <c r="B125" s="167"/>
      <c r="C125" s="70"/>
      <c r="D125" s="71"/>
      <c r="E125" s="72"/>
      <c r="F125" s="72"/>
      <c r="G125" s="72"/>
      <c r="H125" s="29"/>
      <c r="I125" s="29"/>
      <c r="J125" s="72"/>
      <c r="K125" s="72"/>
      <c r="L125" s="72"/>
      <c r="M125" s="72"/>
      <c r="N125" s="72"/>
      <c r="O125" s="72"/>
      <c r="P125" s="72"/>
    </row>
    <row r="126" spans="1:16">
      <c r="A126" s="70"/>
      <c r="B126" s="167"/>
      <c r="C126" s="70"/>
      <c r="D126" s="71"/>
      <c r="E126" s="72"/>
      <c r="F126" s="72"/>
      <c r="G126" s="72"/>
      <c r="H126" s="29"/>
      <c r="I126" s="29"/>
      <c r="J126" s="72"/>
      <c r="K126" s="72"/>
      <c r="L126" s="72"/>
      <c r="M126" s="72"/>
      <c r="N126" s="72"/>
      <c r="O126" s="72"/>
      <c r="P126" s="72"/>
    </row>
    <row r="127" spans="1:16">
      <c r="A127" s="70"/>
      <c r="B127" s="167"/>
      <c r="C127" s="70"/>
      <c r="D127" s="71"/>
      <c r="E127" s="72"/>
      <c r="F127" s="72"/>
      <c r="G127" s="72"/>
      <c r="H127" s="29"/>
      <c r="I127" s="29"/>
      <c r="J127" s="72"/>
      <c r="K127" s="72"/>
      <c r="L127" s="72"/>
      <c r="M127" s="72"/>
      <c r="N127" s="72"/>
      <c r="O127" s="72"/>
      <c r="P127" s="72"/>
    </row>
    <row r="128" spans="1:16">
      <c r="A128" s="70"/>
      <c r="B128" s="167"/>
      <c r="C128" s="70"/>
      <c r="D128" s="71"/>
      <c r="E128" s="72"/>
      <c r="F128" s="72"/>
      <c r="G128" s="72"/>
      <c r="H128" s="29"/>
      <c r="I128" s="29"/>
      <c r="J128" s="72"/>
      <c r="K128" s="72"/>
      <c r="L128" s="72"/>
      <c r="M128" s="72"/>
      <c r="N128" s="72"/>
      <c r="O128" s="72"/>
      <c r="P128" s="72"/>
    </row>
    <row r="129" spans="1:16">
      <c r="A129" s="70"/>
      <c r="B129" s="167"/>
      <c r="C129" s="70"/>
      <c r="D129" s="71"/>
      <c r="E129" s="72"/>
      <c r="F129" s="72"/>
      <c r="G129" s="72"/>
      <c r="H129" s="29"/>
      <c r="I129" s="29"/>
      <c r="J129" s="72"/>
      <c r="K129" s="72"/>
      <c r="L129" s="72"/>
      <c r="M129" s="72"/>
      <c r="N129" s="72"/>
      <c r="O129" s="72"/>
      <c r="P129" s="72"/>
    </row>
    <row r="130" spans="1:16">
      <c r="A130" s="70"/>
      <c r="B130" s="167"/>
      <c r="C130" s="70"/>
      <c r="D130" s="71"/>
      <c r="E130" s="72"/>
      <c r="F130" s="72"/>
      <c r="G130" s="72"/>
      <c r="H130" s="29"/>
      <c r="I130" s="29"/>
      <c r="J130" s="72"/>
      <c r="K130" s="72"/>
      <c r="L130" s="72"/>
      <c r="M130" s="72"/>
      <c r="N130" s="72"/>
      <c r="O130" s="72"/>
      <c r="P130" s="72"/>
    </row>
    <row r="131" spans="1:16">
      <c r="A131" s="70"/>
      <c r="B131" s="167"/>
      <c r="C131" s="70"/>
      <c r="D131" s="71"/>
      <c r="E131" s="72"/>
      <c r="F131" s="72"/>
      <c r="G131" s="72"/>
      <c r="H131" s="29"/>
      <c r="I131" s="29"/>
      <c r="J131" s="72"/>
      <c r="K131" s="72"/>
      <c r="L131" s="72"/>
      <c r="M131" s="72"/>
      <c r="N131" s="72"/>
      <c r="O131" s="72"/>
      <c r="P131" s="72"/>
    </row>
    <row r="132" spans="1:16">
      <c r="A132" s="70"/>
      <c r="B132" s="167"/>
      <c r="C132" s="70"/>
      <c r="D132" s="71"/>
      <c r="E132" s="72"/>
      <c r="F132" s="72"/>
      <c r="G132" s="72"/>
      <c r="H132" s="29"/>
      <c r="I132" s="29"/>
      <c r="J132" s="72"/>
      <c r="K132" s="72"/>
      <c r="L132" s="72"/>
      <c r="M132" s="72"/>
      <c r="N132" s="72"/>
      <c r="O132" s="72"/>
      <c r="P132" s="72"/>
    </row>
    <row r="133" spans="1:16">
      <c r="A133" s="70"/>
      <c r="B133" s="167"/>
      <c r="C133" s="70"/>
      <c r="D133" s="71"/>
      <c r="E133" s="72"/>
      <c r="F133" s="72"/>
      <c r="G133" s="72"/>
      <c r="H133" s="29"/>
      <c r="I133" s="29"/>
      <c r="J133" s="72"/>
      <c r="K133" s="72"/>
      <c r="L133" s="72"/>
      <c r="M133" s="72"/>
      <c r="N133" s="72"/>
      <c r="O133" s="72"/>
      <c r="P133" s="72"/>
    </row>
    <row r="134" spans="1:16">
      <c r="A134" s="70"/>
      <c r="B134" s="167"/>
      <c r="C134" s="70"/>
      <c r="D134" s="71"/>
      <c r="E134" s="72"/>
      <c r="F134" s="72"/>
      <c r="G134" s="72"/>
      <c r="H134" s="29"/>
      <c r="I134" s="29"/>
      <c r="J134" s="72"/>
      <c r="K134" s="72"/>
      <c r="L134" s="72"/>
      <c r="M134" s="72"/>
      <c r="N134" s="72"/>
      <c r="O134" s="72"/>
      <c r="P134" s="72"/>
    </row>
    <row r="135" spans="1:16">
      <c r="A135" s="70"/>
      <c r="B135" s="167"/>
      <c r="C135" s="70"/>
      <c r="D135" s="71"/>
      <c r="E135" s="72"/>
      <c r="F135" s="72"/>
      <c r="G135" s="72"/>
      <c r="H135" s="29"/>
      <c r="I135" s="29"/>
      <c r="J135" s="72"/>
      <c r="K135" s="72"/>
      <c r="L135" s="72"/>
      <c r="M135" s="72"/>
      <c r="N135" s="72"/>
      <c r="O135" s="72"/>
      <c r="P135" s="72"/>
    </row>
    <row r="136" spans="1:16">
      <c r="A136" s="70"/>
      <c r="B136" s="167"/>
      <c r="C136" s="70"/>
      <c r="D136" s="71"/>
      <c r="E136" s="72"/>
      <c r="F136" s="72"/>
      <c r="G136" s="72"/>
      <c r="H136" s="29"/>
      <c r="I136" s="29"/>
      <c r="J136" s="72"/>
      <c r="K136" s="72"/>
      <c r="L136" s="72"/>
      <c r="M136" s="72"/>
      <c r="N136" s="72"/>
      <c r="O136" s="72"/>
      <c r="P136" s="72"/>
    </row>
    <row r="137" spans="1:16">
      <c r="A137" s="70"/>
      <c r="B137" s="167"/>
      <c r="C137" s="70"/>
      <c r="D137" s="71"/>
      <c r="E137" s="72"/>
      <c r="F137" s="72"/>
      <c r="G137" s="72"/>
      <c r="H137" s="29"/>
      <c r="I137" s="29"/>
      <c r="J137" s="72"/>
      <c r="K137" s="72"/>
      <c r="L137" s="72"/>
      <c r="M137" s="72"/>
      <c r="N137" s="72"/>
      <c r="O137" s="72"/>
      <c r="P137" s="72"/>
    </row>
    <row r="138" spans="1:16">
      <c r="A138" s="70"/>
      <c r="B138" s="167"/>
      <c r="C138" s="70"/>
      <c r="D138" s="71"/>
      <c r="E138" s="72"/>
      <c r="F138" s="72"/>
      <c r="G138" s="72"/>
      <c r="H138" s="29"/>
      <c r="I138" s="29"/>
      <c r="J138" s="72"/>
      <c r="K138" s="72"/>
      <c r="L138" s="72"/>
      <c r="M138" s="72"/>
      <c r="N138" s="72"/>
      <c r="O138" s="72"/>
      <c r="P138" s="72"/>
    </row>
    <row r="139" spans="1:16">
      <c r="A139" s="70"/>
      <c r="B139" s="167"/>
      <c r="C139" s="70"/>
      <c r="D139" s="71"/>
      <c r="E139" s="72"/>
      <c r="F139" s="72"/>
      <c r="G139" s="72"/>
      <c r="H139" s="29"/>
      <c r="I139" s="29"/>
      <c r="J139" s="72"/>
      <c r="K139" s="72"/>
      <c r="L139" s="72"/>
      <c r="M139" s="72"/>
      <c r="N139" s="72"/>
      <c r="O139" s="72"/>
      <c r="P139" s="72"/>
    </row>
    <row r="140" spans="1:16">
      <c r="A140" s="70"/>
      <c r="B140" s="167"/>
      <c r="C140" s="70"/>
      <c r="D140" s="71"/>
      <c r="E140" s="72"/>
      <c r="F140" s="72"/>
      <c r="G140" s="72"/>
      <c r="H140" s="29"/>
      <c r="I140" s="29"/>
      <c r="J140" s="72"/>
      <c r="K140" s="72"/>
      <c r="L140" s="72"/>
      <c r="M140" s="72"/>
      <c r="N140" s="72"/>
      <c r="O140" s="72"/>
      <c r="P140" s="72"/>
    </row>
    <row r="141" spans="1:16">
      <c r="A141" s="70"/>
      <c r="B141" s="167"/>
      <c r="C141" s="70"/>
      <c r="D141" s="71"/>
      <c r="E141" s="72"/>
      <c r="F141" s="72"/>
      <c r="G141" s="72"/>
      <c r="H141" s="29"/>
      <c r="I141" s="29"/>
      <c r="J141" s="72"/>
      <c r="K141" s="72"/>
      <c r="L141" s="72"/>
      <c r="M141" s="72"/>
      <c r="N141" s="72"/>
      <c r="O141" s="72"/>
      <c r="P141" s="72"/>
    </row>
    <row r="142" spans="1:16">
      <c r="A142" s="70"/>
      <c r="B142" s="167"/>
      <c r="C142" s="70"/>
      <c r="D142" s="71"/>
      <c r="E142" s="72"/>
      <c r="F142" s="72"/>
      <c r="G142" s="72"/>
      <c r="H142" s="29"/>
      <c r="I142" s="29"/>
      <c r="J142" s="72"/>
      <c r="K142" s="72"/>
      <c r="L142" s="72"/>
      <c r="M142" s="72"/>
      <c r="N142" s="72"/>
      <c r="O142" s="72"/>
      <c r="P142" s="72"/>
    </row>
    <row r="143" spans="1:16">
      <c r="A143" s="70"/>
      <c r="B143" s="167"/>
      <c r="C143" s="70"/>
      <c r="D143" s="71"/>
      <c r="E143" s="72"/>
      <c r="F143" s="72"/>
      <c r="G143" s="72"/>
      <c r="H143" s="29"/>
      <c r="I143" s="29"/>
      <c r="J143" s="72"/>
      <c r="K143" s="72"/>
      <c r="L143" s="72"/>
      <c r="M143" s="72"/>
      <c r="N143" s="72"/>
      <c r="O143" s="72"/>
      <c r="P143" s="72"/>
    </row>
    <row r="144" spans="1:16">
      <c r="A144" s="70"/>
      <c r="B144" s="167"/>
      <c r="C144" s="70"/>
      <c r="D144" s="71"/>
      <c r="E144" s="72"/>
      <c r="F144" s="72"/>
      <c r="G144" s="72"/>
      <c r="H144" s="29"/>
      <c r="I144" s="29"/>
      <c r="J144" s="72"/>
      <c r="K144" s="72"/>
      <c r="L144" s="72"/>
      <c r="M144" s="72"/>
      <c r="N144" s="72"/>
      <c r="O144" s="72"/>
      <c r="P144" s="72"/>
    </row>
    <row r="145" spans="1:16">
      <c r="A145" s="70"/>
      <c r="B145" s="167"/>
      <c r="C145" s="70"/>
      <c r="D145" s="71"/>
      <c r="E145" s="72"/>
      <c r="F145" s="72"/>
      <c r="G145" s="72"/>
      <c r="H145" s="29"/>
      <c r="I145" s="29"/>
      <c r="J145" s="72"/>
      <c r="K145" s="72"/>
      <c r="L145" s="72"/>
      <c r="M145" s="72"/>
      <c r="N145" s="72"/>
      <c r="O145" s="72"/>
      <c r="P145" s="72"/>
    </row>
    <row r="146" spans="1:16">
      <c r="A146" s="70"/>
      <c r="B146" s="167"/>
      <c r="C146" s="70"/>
      <c r="D146" s="71"/>
      <c r="E146" s="72"/>
      <c r="F146" s="72"/>
      <c r="G146" s="72"/>
      <c r="H146" s="29"/>
      <c r="I146" s="29"/>
      <c r="J146" s="72"/>
      <c r="K146" s="72"/>
      <c r="L146" s="72"/>
      <c r="M146" s="72"/>
      <c r="N146" s="72"/>
      <c r="O146" s="72"/>
      <c r="P146" s="72"/>
    </row>
    <row r="147" spans="1:16">
      <c r="A147" s="70"/>
      <c r="B147" s="167"/>
      <c r="C147" s="70"/>
      <c r="D147" s="71"/>
      <c r="E147" s="72"/>
      <c r="F147" s="72"/>
      <c r="G147" s="72"/>
      <c r="H147" s="29"/>
      <c r="I147" s="29"/>
      <c r="J147" s="72"/>
      <c r="K147" s="72"/>
      <c r="L147" s="72"/>
      <c r="M147" s="72"/>
      <c r="N147" s="72"/>
      <c r="O147" s="72"/>
      <c r="P147" s="72"/>
    </row>
    <row r="148" spans="1:16">
      <c r="A148" s="70"/>
      <c r="B148" s="167"/>
      <c r="C148" s="70"/>
      <c r="D148" s="71"/>
      <c r="E148" s="72"/>
      <c r="F148" s="72"/>
      <c r="G148" s="72"/>
      <c r="H148" s="29"/>
      <c r="I148" s="29"/>
      <c r="J148" s="72"/>
      <c r="K148" s="72"/>
      <c r="L148" s="72"/>
      <c r="M148" s="72"/>
      <c r="N148" s="72"/>
      <c r="O148" s="72"/>
      <c r="P148" s="72"/>
    </row>
    <row r="149" spans="1:16">
      <c r="A149" s="70"/>
      <c r="B149" s="167"/>
      <c r="C149" s="70"/>
      <c r="D149" s="71"/>
      <c r="E149" s="72"/>
      <c r="F149" s="72"/>
      <c r="G149" s="72"/>
      <c r="H149" s="29"/>
      <c r="I149" s="29"/>
      <c r="J149" s="72"/>
      <c r="K149" s="72"/>
      <c r="L149" s="72"/>
      <c r="M149" s="72"/>
      <c r="N149" s="72"/>
      <c r="O149" s="72"/>
      <c r="P149" s="72"/>
    </row>
    <row r="150" spans="1:16">
      <c r="A150" s="70"/>
      <c r="B150" s="167"/>
      <c r="C150" s="70"/>
      <c r="D150" s="71"/>
      <c r="E150" s="72"/>
      <c r="F150" s="72"/>
      <c r="G150" s="72"/>
      <c r="H150" s="29"/>
      <c r="I150" s="29"/>
      <c r="J150" s="72"/>
      <c r="K150" s="72"/>
      <c r="L150" s="72"/>
      <c r="M150" s="72"/>
      <c r="N150" s="72"/>
      <c r="O150" s="72"/>
      <c r="P150" s="72"/>
    </row>
    <row r="151" spans="1:16">
      <c r="A151" s="70"/>
      <c r="B151" s="167"/>
      <c r="C151" s="70"/>
      <c r="D151" s="71"/>
      <c r="E151" s="72"/>
      <c r="F151" s="72"/>
      <c r="G151" s="72"/>
      <c r="H151" s="29"/>
      <c r="I151" s="29"/>
      <c r="J151" s="72"/>
      <c r="K151" s="72"/>
      <c r="L151" s="72"/>
      <c r="M151" s="72"/>
      <c r="N151" s="72"/>
      <c r="O151" s="72"/>
      <c r="P151" s="72"/>
    </row>
    <row r="152" spans="1:16">
      <c r="A152" s="70"/>
      <c r="B152" s="167"/>
      <c r="C152" s="70"/>
      <c r="D152" s="71"/>
      <c r="E152" s="72"/>
      <c r="F152" s="72"/>
      <c r="G152" s="72"/>
      <c r="H152" s="29"/>
      <c r="I152" s="29"/>
      <c r="J152" s="72"/>
      <c r="K152" s="72"/>
      <c r="L152" s="72"/>
      <c r="M152" s="72"/>
      <c r="N152" s="72"/>
      <c r="O152" s="72"/>
      <c r="P152" s="72"/>
    </row>
    <row r="153" spans="1:16">
      <c r="A153" s="70"/>
      <c r="B153" s="167"/>
      <c r="C153" s="70"/>
      <c r="D153" s="71"/>
      <c r="E153" s="72"/>
      <c r="F153" s="72"/>
      <c r="G153" s="72"/>
      <c r="H153" s="29"/>
      <c r="I153" s="29"/>
      <c r="J153" s="72"/>
      <c r="K153" s="72"/>
      <c r="L153" s="72"/>
      <c r="M153" s="72"/>
      <c r="N153" s="72"/>
      <c r="O153" s="72"/>
      <c r="P153" s="72"/>
    </row>
    <row r="154" spans="1:16">
      <c r="A154" s="70"/>
      <c r="B154" s="167"/>
      <c r="C154" s="70"/>
      <c r="D154" s="71"/>
      <c r="E154" s="72"/>
      <c r="F154" s="72"/>
      <c r="G154" s="72"/>
      <c r="H154" s="29"/>
      <c r="I154" s="29"/>
      <c r="J154" s="72"/>
      <c r="K154" s="72"/>
      <c r="L154" s="72"/>
      <c r="M154" s="72"/>
      <c r="N154" s="72"/>
      <c r="O154" s="72"/>
      <c r="P154" s="72"/>
    </row>
    <row r="155" spans="1:16">
      <c r="A155" s="70"/>
      <c r="B155" s="167"/>
      <c r="C155" s="70"/>
      <c r="D155" s="71"/>
      <c r="E155" s="72"/>
      <c r="F155" s="72"/>
      <c r="G155" s="72"/>
      <c r="H155" s="29"/>
      <c r="I155" s="29"/>
      <c r="J155" s="72"/>
      <c r="K155" s="72"/>
      <c r="L155" s="72"/>
      <c r="M155" s="72"/>
      <c r="N155" s="72"/>
      <c r="O155" s="72"/>
      <c r="P155" s="72"/>
    </row>
    <row r="156" spans="1:16">
      <c r="A156" s="70"/>
      <c r="B156" s="167"/>
      <c r="C156" s="70"/>
      <c r="D156" s="71"/>
      <c r="E156" s="72"/>
      <c r="F156" s="72"/>
      <c r="G156" s="72"/>
      <c r="H156" s="29"/>
      <c r="I156" s="29"/>
      <c r="J156" s="72"/>
      <c r="K156" s="72"/>
      <c r="L156" s="72"/>
      <c r="M156" s="72"/>
      <c r="N156" s="72"/>
      <c r="O156" s="72"/>
      <c r="P156" s="72"/>
    </row>
    <row r="157" spans="1:16">
      <c r="A157" s="70"/>
      <c r="B157" s="167"/>
      <c r="C157" s="70"/>
      <c r="D157" s="71"/>
      <c r="E157" s="72"/>
      <c r="F157" s="72"/>
      <c r="G157" s="72"/>
      <c r="H157" s="29"/>
      <c r="I157" s="29"/>
      <c r="J157" s="72"/>
      <c r="K157" s="72"/>
      <c r="L157" s="72"/>
      <c r="M157" s="72"/>
      <c r="N157" s="72"/>
      <c r="O157" s="72"/>
      <c r="P157" s="72"/>
    </row>
    <row r="158" spans="1:16">
      <c r="A158" s="70"/>
      <c r="B158" s="167"/>
      <c r="C158" s="70"/>
      <c r="D158" s="71"/>
      <c r="E158" s="72"/>
      <c r="F158" s="72"/>
      <c r="G158" s="72"/>
      <c r="H158" s="29"/>
      <c r="I158" s="29"/>
      <c r="J158" s="72"/>
      <c r="K158" s="72"/>
      <c r="L158" s="72"/>
      <c r="M158" s="72"/>
      <c r="N158" s="72"/>
      <c r="O158" s="72"/>
      <c r="P158" s="72"/>
    </row>
    <row r="159" spans="1:16">
      <c r="A159" s="70"/>
      <c r="B159" s="167"/>
      <c r="C159" s="70"/>
      <c r="D159" s="71"/>
      <c r="E159" s="72"/>
      <c r="F159" s="72"/>
      <c r="G159" s="72"/>
      <c r="H159" s="29"/>
      <c r="I159" s="29"/>
      <c r="J159" s="72"/>
      <c r="K159" s="72"/>
      <c r="L159" s="72"/>
      <c r="M159" s="72"/>
      <c r="N159" s="72"/>
      <c r="O159" s="72"/>
      <c r="P159" s="72"/>
    </row>
    <row r="160" spans="1:16">
      <c r="A160" s="70"/>
      <c r="B160" s="167"/>
      <c r="C160" s="70"/>
      <c r="D160" s="71"/>
      <c r="E160" s="72"/>
      <c r="F160" s="72"/>
      <c r="G160" s="72"/>
      <c r="H160" s="29"/>
      <c r="I160" s="29"/>
      <c r="J160" s="72"/>
      <c r="K160" s="72"/>
      <c r="L160" s="72"/>
      <c r="M160" s="72"/>
      <c r="N160" s="72"/>
      <c r="O160" s="72"/>
      <c r="P160" s="72"/>
    </row>
    <row r="161" spans="1:16">
      <c r="A161" s="70"/>
      <c r="B161" s="167"/>
      <c r="C161" s="70"/>
      <c r="D161" s="71"/>
      <c r="E161" s="72"/>
      <c r="F161" s="72"/>
      <c r="G161" s="72"/>
      <c r="H161" s="29"/>
      <c r="I161" s="29"/>
      <c r="J161" s="72"/>
      <c r="K161" s="72"/>
      <c r="L161" s="72"/>
      <c r="M161" s="72"/>
      <c r="N161" s="72"/>
      <c r="O161" s="72"/>
      <c r="P161" s="72"/>
    </row>
    <row r="162" spans="1:16">
      <c r="A162" s="70"/>
      <c r="B162" s="167"/>
      <c r="C162" s="70"/>
      <c r="D162" s="71"/>
      <c r="E162" s="72"/>
      <c r="F162" s="72"/>
      <c r="G162" s="72"/>
      <c r="H162" s="29"/>
      <c r="I162" s="29"/>
      <c r="J162" s="72"/>
      <c r="K162" s="72"/>
      <c r="L162" s="72"/>
      <c r="M162" s="72"/>
      <c r="N162" s="72"/>
      <c r="O162" s="72"/>
      <c r="P162" s="72"/>
    </row>
    <row r="163" spans="1:16">
      <c r="A163" s="70"/>
      <c r="B163" s="167"/>
      <c r="C163" s="70"/>
      <c r="D163" s="71"/>
      <c r="E163" s="72"/>
      <c r="F163" s="72"/>
      <c r="G163" s="72"/>
      <c r="H163" s="29"/>
      <c r="I163" s="29"/>
      <c r="J163" s="72"/>
      <c r="K163" s="72"/>
      <c r="L163" s="72"/>
      <c r="M163" s="72"/>
      <c r="N163" s="72"/>
      <c r="O163" s="72"/>
      <c r="P163" s="72"/>
    </row>
    <row r="164" spans="1:16">
      <c r="A164" s="70"/>
      <c r="B164" s="167"/>
      <c r="C164" s="70"/>
      <c r="D164" s="71"/>
      <c r="E164" s="72"/>
      <c r="F164" s="72"/>
      <c r="G164" s="72"/>
      <c r="H164" s="29"/>
      <c r="I164" s="29"/>
      <c r="J164" s="72"/>
      <c r="K164" s="72"/>
      <c r="L164" s="72"/>
      <c r="M164" s="72"/>
      <c r="N164" s="72"/>
      <c r="O164" s="72"/>
      <c r="P164" s="72"/>
    </row>
    <row r="165" spans="1:16">
      <c r="A165" s="70"/>
      <c r="B165" s="167"/>
      <c r="C165" s="70"/>
      <c r="D165" s="71"/>
      <c r="E165" s="72"/>
      <c r="F165" s="72"/>
      <c r="G165" s="72"/>
      <c r="H165" s="29"/>
      <c r="I165" s="29"/>
      <c r="J165" s="72"/>
      <c r="K165" s="72"/>
      <c r="L165" s="72"/>
      <c r="M165" s="72"/>
      <c r="N165" s="72"/>
      <c r="O165" s="72"/>
      <c r="P165" s="72"/>
    </row>
    <row r="166" spans="1:16">
      <c r="A166" s="70"/>
      <c r="B166" s="167"/>
      <c r="C166" s="70"/>
      <c r="D166" s="71"/>
      <c r="E166" s="72"/>
      <c r="F166" s="72"/>
      <c r="G166" s="72"/>
      <c r="H166" s="29"/>
      <c r="I166" s="29"/>
      <c r="J166" s="72"/>
      <c r="K166" s="72"/>
      <c r="L166" s="72"/>
      <c r="M166" s="72"/>
      <c r="N166" s="72"/>
      <c r="O166" s="72"/>
      <c r="P166" s="72"/>
    </row>
    <row r="167" spans="1:16">
      <c r="A167" s="70"/>
      <c r="B167" s="167"/>
      <c r="C167" s="70"/>
      <c r="D167" s="71"/>
      <c r="E167" s="72"/>
      <c r="F167" s="72"/>
      <c r="G167" s="72"/>
      <c r="H167" s="29"/>
      <c r="I167" s="29"/>
      <c r="J167" s="72"/>
      <c r="K167" s="72"/>
      <c r="L167" s="72"/>
      <c r="M167" s="72"/>
      <c r="N167" s="72"/>
      <c r="O167" s="72"/>
      <c r="P167" s="72"/>
    </row>
    <row r="168" spans="1:16">
      <c r="A168" s="70"/>
      <c r="B168" s="167"/>
      <c r="C168" s="70"/>
      <c r="D168" s="71"/>
      <c r="E168" s="72"/>
      <c r="F168" s="72"/>
      <c r="G168" s="72"/>
      <c r="H168" s="29"/>
      <c r="I168" s="29"/>
      <c r="J168" s="72"/>
      <c r="K168" s="72"/>
      <c r="L168" s="72"/>
      <c r="M168" s="72"/>
      <c r="N168" s="72"/>
      <c r="O168" s="72"/>
      <c r="P168" s="72"/>
    </row>
    <row r="169" spans="1:16">
      <c r="A169" s="70"/>
      <c r="B169" s="167"/>
      <c r="C169" s="70"/>
      <c r="D169" s="71"/>
      <c r="E169" s="72"/>
      <c r="F169" s="72"/>
      <c r="G169" s="72"/>
      <c r="H169" s="29"/>
      <c r="I169" s="29"/>
      <c r="J169" s="72"/>
      <c r="K169" s="72"/>
      <c r="L169" s="72"/>
      <c r="M169" s="72"/>
      <c r="N169" s="72"/>
      <c r="O169" s="72"/>
      <c r="P169" s="72"/>
    </row>
    <row r="170" spans="1:16">
      <c r="A170" s="70"/>
      <c r="B170" s="167"/>
      <c r="C170" s="70"/>
      <c r="D170" s="71"/>
      <c r="E170" s="72"/>
      <c r="F170" s="72"/>
      <c r="G170" s="72"/>
      <c r="H170" s="29"/>
      <c r="I170" s="29"/>
      <c r="J170" s="72"/>
      <c r="K170" s="72"/>
      <c r="L170" s="72"/>
      <c r="M170" s="72"/>
      <c r="N170" s="72"/>
      <c r="O170" s="72"/>
      <c r="P170" s="72"/>
    </row>
    <row r="171" spans="1:16">
      <c r="A171" s="70"/>
      <c r="B171" s="167"/>
      <c r="C171" s="70"/>
      <c r="D171" s="71"/>
      <c r="E171" s="72"/>
      <c r="F171" s="72"/>
      <c r="G171" s="72"/>
      <c r="H171" s="29"/>
      <c r="I171" s="29"/>
      <c r="J171" s="72"/>
      <c r="K171" s="72"/>
      <c r="L171" s="72"/>
      <c r="M171" s="72"/>
      <c r="N171" s="72"/>
      <c r="O171" s="72"/>
      <c r="P171" s="72"/>
    </row>
    <row r="172" spans="1:16">
      <c r="A172" s="70"/>
      <c r="B172" s="167"/>
      <c r="C172" s="70"/>
      <c r="D172" s="71"/>
      <c r="E172" s="72"/>
      <c r="F172" s="72"/>
      <c r="G172" s="72"/>
      <c r="H172" s="29"/>
      <c r="I172" s="29"/>
      <c r="J172" s="72"/>
      <c r="K172" s="72"/>
      <c r="L172" s="72"/>
      <c r="M172" s="72"/>
      <c r="N172" s="72"/>
      <c r="O172" s="72"/>
      <c r="P172" s="72"/>
    </row>
    <row r="173" spans="1:16">
      <c r="A173" s="70"/>
      <c r="B173" s="167"/>
      <c r="C173" s="70"/>
      <c r="D173" s="71"/>
      <c r="E173" s="72"/>
      <c r="F173" s="72"/>
      <c r="G173" s="72"/>
      <c r="H173" s="29"/>
      <c r="I173" s="29"/>
      <c r="J173" s="72"/>
      <c r="K173" s="72"/>
      <c r="L173" s="72"/>
      <c r="M173" s="72"/>
      <c r="N173" s="72"/>
      <c r="O173" s="72"/>
      <c r="P173" s="72"/>
    </row>
    <row r="174" spans="1:16">
      <c r="A174" s="70"/>
      <c r="B174" s="167"/>
      <c r="C174" s="70"/>
      <c r="D174" s="71"/>
      <c r="E174" s="72"/>
      <c r="F174" s="72"/>
      <c r="G174" s="72"/>
      <c r="H174" s="29"/>
      <c r="I174" s="29"/>
      <c r="J174" s="72"/>
      <c r="K174" s="72"/>
      <c r="L174" s="72"/>
      <c r="M174" s="72"/>
      <c r="N174" s="72"/>
      <c r="O174" s="72"/>
      <c r="P174" s="72"/>
    </row>
    <row r="175" spans="1:16">
      <c r="A175" s="70"/>
      <c r="B175" s="167"/>
      <c r="C175" s="70"/>
      <c r="D175" s="71"/>
      <c r="E175" s="72"/>
      <c r="F175" s="72"/>
      <c r="G175" s="72"/>
      <c r="H175" s="29"/>
      <c r="I175" s="29"/>
      <c r="J175" s="72"/>
      <c r="K175" s="72"/>
      <c r="L175" s="72"/>
      <c r="M175" s="72"/>
      <c r="N175" s="72"/>
      <c r="O175" s="72"/>
      <c r="P175" s="72"/>
    </row>
    <row r="176" spans="1:16">
      <c r="A176" s="70"/>
      <c r="B176" s="167"/>
      <c r="C176" s="70"/>
      <c r="D176" s="71"/>
      <c r="E176" s="72"/>
      <c r="F176" s="72"/>
      <c r="G176" s="72"/>
      <c r="H176" s="29"/>
      <c r="I176" s="29"/>
      <c r="J176" s="72"/>
      <c r="K176" s="72"/>
      <c r="L176" s="72"/>
      <c r="M176" s="72"/>
      <c r="N176" s="72"/>
      <c r="O176" s="72"/>
      <c r="P176" s="72"/>
    </row>
    <row r="177" spans="1:16">
      <c r="A177" s="70"/>
      <c r="B177" s="167"/>
      <c r="C177" s="70"/>
      <c r="D177" s="71"/>
      <c r="E177" s="72"/>
      <c r="F177" s="72"/>
      <c r="G177" s="72"/>
      <c r="H177" s="29"/>
      <c r="I177" s="29"/>
      <c r="J177" s="72"/>
      <c r="K177" s="72"/>
      <c r="L177" s="72"/>
      <c r="M177" s="72"/>
      <c r="N177" s="72"/>
      <c r="O177" s="72"/>
      <c r="P177" s="72"/>
    </row>
    <row r="178" spans="1:16">
      <c r="A178" s="70"/>
      <c r="B178" s="167"/>
      <c r="C178" s="70"/>
      <c r="D178" s="71"/>
      <c r="E178" s="72"/>
      <c r="F178" s="72"/>
      <c r="G178" s="72"/>
      <c r="H178" s="29"/>
      <c r="I178" s="29"/>
      <c r="J178" s="72"/>
      <c r="K178" s="72"/>
      <c r="L178" s="72"/>
      <c r="M178" s="72"/>
      <c r="N178" s="72"/>
      <c r="O178" s="72"/>
      <c r="P178" s="72"/>
    </row>
    <row r="179" spans="1:16">
      <c r="A179" s="70"/>
      <c r="B179" s="167"/>
      <c r="C179" s="70"/>
      <c r="D179" s="71"/>
      <c r="E179" s="72"/>
      <c r="F179" s="72"/>
      <c r="G179" s="72"/>
      <c r="H179" s="29"/>
      <c r="I179" s="29"/>
      <c r="J179" s="72"/>
      <c r="K179" s="72"/>
      <c r="L179" s="72"/>
      <c r="M179" s="72"/>
      <c r="N179" s="72"/>
      <c r="O179" s="72"/>
      <c r="P179" s="72"/>
    </row>
    <row r="180" spans="1:16">
      <c r="A180" s="70"/>
      <c r="B180" s="167"/>
      <c r="C180" s="70"/>
      <c r="D180" s="71"/>
      <c r="E180" s="72"/>
      <c r="F180" s="72"/>
      <c r="G180" s="72"/>
      <c r="H180" s="29"/>
      <c r="I180" s="29"/>
      <c r="J180" s="72"/>
      <c r="K180" s="72"/>
      <c r="L180" s="72"/>
      <c r="M180" s="72"/>
      <c r="N180" s="72"/>
      <c r="O180" s="72"/>
      <c r="P180" s="72"/>
    </row>
    <row r="181" spans="1:16">
      <c r="A181" s="70"/>
      <c r="B181" s="167"/>
      <c r="C181" s="70"/>
      <c r="D181" s="71"/>
      <c r="E181" s="72"/>
      <c r="F181" s="72"/>
      <c r="G181" s="72"/>
      <c r="H181" s="29"/>
      <c r="I181" s="29"/>
      <c r="J181" s="72"/>
      <c r="K181" s="72"/>
      <c r="L181" s="72"/>
      <c r="M181" s="72"/>
      <c r="N181" s="72"/>
      <c r="O181" s="72"/>
      <c r="P181" s="72"/>
    </row>
    <row r="182" spans="1:16">
      <c r="A182" s="70"/>
      <c r="B182" s="167"/>
      <c r="C182" s="70"/>
      <c r="D182" s="71"/>
      <c r="E182" s="72"/>
      <c r="F182" s="72"/>
      <c r="G182" s="72"/>
      <c r="H182" s="29"/>
      <c r="I182" s="29"/>
      <c r="J182" s="72"/>
      <c r="K182" s="72"/>
      <c r="L182" s="72"/>
      <c r="M182" s="72"/>
      <c r="N182" s="72"/>
      <c r="O182" s="72"/>
      <c r="P182" s="72"/>
    </row>
    <row r="183" spans="1:16">
      <c r="A183" s="70"/>
      <c r="B183" s="167"/>
      <c r="C183" s="70"/>
      <c r="D183" s="71"/>
      <c r="E183" s="72"/>
      <c r="F183" s="72"/>
      <c r="G183" s="72"/>
      <c r="H183" s="29"/>
      <c r="I183" s="29"/>
      <c r="J183" s="72"/>
      <c r="K183" s="72"/>
      <c r="L183" s="72"/>
      <c r="M183" s="72"/>
      <c r="N183" s="72"/>
      <c r="O183" s="72"/>
      <c r="P183" s="72"/>
    </row>
    <row r="184" spans="1:16">
      <c r="A184" s="70"/>
      <c r="B184" s="167"/>
      <c r="C184" s="70"/>
      <c r="D184" s="71"/>
      <c r="E184" s="72"/>
      <c r="F184" s="72"/>
      <c r="G184" s="72"/>
      <c r="H184" s="29"/>
      <c r="I184" s="29"/>
      <c r="J184" s="72"/>
      <c r="K184" s="72"/>
      <c r="L184" s="72"/>
      <c r="M184" s="72"/>
      <c r="N184" s="72"/>
      <c r="O184" s="72"/>
      <c r="P184" s="72"/>
    </row>
    <row r="185" spans="1:16">
      <c r="A185" s="70"/>
      <c r="B185" s="167"/>
      <c r="C185" s="70"/>
      <c r="D185" s="71"/>
      <c r="E185" s="72"/>
      <c r="F185" s="72"/>
      <c r="G185" s="72"/>
      <c r="H185" s="29"/>
      <c r="I185" s="29"/>
      <c r="J185" s="72"/>
      <c r="K185" s="72"/>
      <c r="L185" s="72"/>
      <c r="M185" s="72"/>
      <c r="N185" s="72"/>
      <c r="O185" s="72"/>
      <c r="P185" s="72"/>
    </row>
    <row r="186" spans="1:16">
      <c r="A186" s="70"/>
      <c r="B186" s="167"/>
      <c r="C186" s="70"/>
      <c r="D186" s="71"/>
      <c r="E186" s="72"/>
      <c r="F186" s="72"/>
      <c r="G186" s="72"/>
      <c r="H186" s="29"/>
      <c r="I186" s="29"/>
      <c r="J186" s="72"/>
      <c r="K186" s="72"/>
      <c r="L186" s="72"/>
      <c r="M186" s="72"/>
      <c r="N186" s="72"/>
      <c r="O186" s="72"/>
      <c r="P186" s="72"/>
    </row>
    <row r="187" spans="1:16">
      <c r="A187" s="70"/>
      <c r="B187" s="167"/>
      <c r="C187" s="70"/>
      <c r="D187" s="71"/>
      <c r="E187" s="72"/>
      <c r="F187" s="72"/>
      <c r="G187" s="72"/>
      <c r="H187" s="29"/>
      <c r="I187" s="29"/>
      <c r="J187" s="72"/>
      <c r="K187" s="72"/>
      <c r="L187" s="72"/>
      <c r="M187" s="72"/>
      <c r="N187" s="72"/>
      <c r="O187" s="72"/>
      <c r="P187" s="72"/>
    </row>
    <row r="188" spans="1:16">
      <c r="A188" s="70"/>
      <c r="B188" s="167"/>
      <c r="C188" s="70"/>
      <c r="D188" s="71"/>
      <c r="E188" s="72"/>
      <c r="F188" s="72"/>
      <c r="G188" s="72"/>
      <c r="H188" s="29"/>
      <c r="I188" s="29"/>
      <c r="J188" s="72"/>
      <c r="K188" s="72"/>
      <c r="L188" s="72"/>
      <c r="M188" s="72"/>
      <c r="N188" s="72"/>
      <c r="O188" s="72"/>
      <c r="P188" s="72"/>
    </row>
    <row r="189" spans="1:16">
      <c r="A189" s="70"/>
      <c r="B189" s="167"/>
      <c r="C189" s="70"/>
      <c r="D189" s="71"/>
      <c r="E189" s="72"/>
      <c r="F189" s="72"/>
      <c r="G189" s="72"/>
      <c r="H189" s="29"/>
      <c r="I189" s="29"/>
      <c r="J189" s="72"/>
      <c r="K189" s="72"/>
      <c r="L189" s="72"/>
      <c r="M189" s="72"/>
      <c r="N189" s="72"/>
      <c r="O189" s="72"/>
      <c r="P189" s="72"/>
    </row>
    <row r="190" spans="1:16">
      <c r="A190" s="70"/>
      <c r="B190" s="167"/>
      <c r="C190" s="70"/>
      <c r="D190" s="71"/>
      <c r="E190" s="72"/>
      <c r="F190" s="72"/>
      <c r="G190" s="72"/>
      <c r="H190" s="29"/>
      <c r="I190" s="29"/>
      <c r="J190" s="72"/>
      <c r="K190" s="72"/>
      <c r="L190" s="72"/>
      <c r="M190" s="72"/>
      <c r="N190" s="72"/>
      <c r="O190" s="72"/>
      <c r="P190" s="72"/>
    </row>
    <row r="191" spans="1:16">
      <c r="A191" s="70"/>
      <c r="B191" s="167"/>
      <c r="C191" s="70"/>
      <c r="D191" s="71"/>
      <c r="E191" s="72"/>
      <c r="F191" s="72"/>
      <c r="G191" s="72"/>
      <c r="H191" s="29"/>
      <c r="I191" s="29"/>
      <c r="J191" s="72"/>
      <c r="K191" s="72"/>
      <c r="L191" s="72"/>
      <c r="M191" s="72"/>
      <c r="N191" s="72"/>
      <c r="O191" s="72"/>
      <c r="P191" s="72"/>
    </row>
    <row r="192" spans="1:16">
      <c r="A192" s="70"/>
      <c r="B192" s="167"/>
      <c r="C192" s="70"/>
      <c r="D192" s="71"/>
      <c r="E192" s="72"/>
      <c r="F192" s="72"/>
      <c r="G192" s="72"/>
      <c r="H192" s="29"/>
      <c r="I192" s="29"/>
      <c r="J192" s="72"/>
      <c r="K192" s="72"/>
      <c r="L192" s="72"/>
      <c r="M192" s="72"/>
      <c r="N192" s="72"/>
      <c r="O192" s="72"/>
      <c r="P192" s="72"/>
    </row>
    <row r="193" spans="1:16">
      <c r="A193" s="70"/>
      <c r="B193" s="167"/>
      <c r="C193" s="70"/>
      <c r="D193" s="71"/>
      <c r="E193" s="72"/>
      <c r="F193" s="72"/>
      <c r="G193" s="72"/>
      <c r="H193" s="29"/>
      <c r="I193" s="29"/>
      <c r="J193" s="72"/>
      <c r="K193" s="72"/>
      <c r="L193" s="72"/>
      <c r="M193" s="72"/>
      <c r="N193" s="72"/>
      <c r="O193" s="72"/>
      <c r="P193" s="72"/>
    </row>
    <row r="194" spans="1:16">
      <c r="A194" s="70"/>
      <c r="B194" s="167"/>
      <c r="C194" s="70"/>
      <c r="D194" s="71"/>
      <c r="E194" s="72"/>
      <c r="F194" s="72"/>
      <c r="G194" s="72"/>
      <c r="H194" s="29"/>
      <c r="I194" s="29"/>
      <c r="J194" s="72"/>
      <c r="K194" s="72"/>
      <c r="L194" s="72"/>
      <c r="M194" s="72"/>
      <c r="N194" s="72"/>
      <c r="O194" s="72"/>
      <c r="P194" s="72"/>
    </row>
    <row r="195" spans="1:16">
      <c r="A195" s="70"/>
      <c r="B195" s="167"/>
      <c r="C195" s="70"/>
      <c r="D195" s="71"/>
      <c r="E195" s="72"/>
      <c r="F195" s="72"/>
      <c r="G195" s="72"/>
      <c r="H195" s="29"/>
      <c r="I195" s="29"/>
      <c r="J195" s="72"/>
      <c r="K195" s="72"/>
      <c r="L195" s="72"/>
      <c r="M195" s="72"/>
      <c r="N195" s="72"/>
      <c r="O195" s="72"/>
      <c r="P195" s="72"/>
    </row>
    <row r="196" spans="1:16">
      <c r="A196" s="70"/>
      <c r="B196" s="167"/>
      <c r="C196" s="70"/>
      <c r="D196" s="71"/>
      <c r="E196" s="72"/>
      <c r="F196" s="72"/>
      <c r="G196" s="72"/>
      <c r="H196" s="29"/>
      <c r="I196" s="29"/>
      <c r="J196" s="72"/>
      <c r="K196" s="72"/>
      <c r="L196" s="72"/>
      <c r="M196" s="72"/>
      <c r="N196" s="72"/>
      <c r="O196" s="72"/>
      <c r="P196" s="72"/>
    </row>
    <row r="197" spans="1:16">
      <c r="A197" s="70"/>
      <c r="B197" s="167"/>
      <c r="C197" s="70"/>
      <c r="D197" s="71"/>
      <c r="E197" s="72"/>
      <c r="F197" s="72"/>
      <c r="G197" s="72"/>
      <c r="H197" s="29"/>
      <c r="I197" s="29"/>
      <c r="J197" s="72"/>
      <c r="K197" s="72"/>
      <c r="L197" s="72"/>
      <c r="M197" s="72"/>
      <c r="N197" s="72"/>
      <c r="O197" s="72"/>
      <c r="P197" s="72"/>
    </row>
    <row r="198" spans="1:16">
      <c r="A198" s="70"/>
      <c r="B198" s="167"/>
      <c r="C198" s="70"/>
      <c r="D198" s="71"/>
      <c r="E198" s="72"/>
      <c r="F198" s="72"/>
      <c r="G198" s="72"/>
      <c r="H198" s="29"/>
      <c r="I198" s="29"/>
      <c r="J198" s="72"/>
      <c r="K198" s="72"/>
      <c r="L198" s="72"/>
      <c r="M198" s="72"/>
      <c r="N198" s="72"/>
      <c r="O198" s="72"/>
      <c r="P198" s="72"/>
    </row>
    <row r="199" spans="1:16">
      <c r="A199" s="70"/>
      <c r="B199" s="167"/>
      <c r="C199" s="70"/>
      <c r="D199" s="71"/>
      <c r="E199" s="72"/>
      <c r="F199" s="72"/>
      <c r="G199" s="72"/>
      <c r="H199" s="29"/>
      <c r="I199" s="29"/>
      <c r="J199" s="72"/>
      <c r="K199" s="72"/>
      <c r="L199" s="72"/>
      <c r="M199" s="72"/>
      <c r="N199" s="72"/>
      <c r="O199" s="72"/>
      <c r="P199" s="72"/>
    </row>
    <row r="200" spans="1:16">
      <c r="A200" s="70"/>
      <c r="B200" s="167"/>
      <c r="C200" s="70"/>
      <c r="D200" s="71"/>
      <c r="E200" s="72"/>
      <c r="F200" s="72"/>
      <c r="G200" s="72"/>
      <c r="H200" s="29"/>
      <c r="I200" s="29"/>
      <c r="J200" s="72"/>
      <c r="K200" s="72"/>
      <c r="L200" s="72"/>
      <c r="M200" s="72"/>
      <c r="N200" s="72"/>
      <c r="O200" s="72"/>
      <c r="P200" s="72"/>
    </row>
    <row r="201" spans="1:16">
      <c r="A201" s="70"/>
      <c r="B201" s="167"/>
      <c r="C201" s="70"/>
      <c r="D201" s="71"/>
      <c r="E201" s="72"/>
      <c r="F201" s="72"/>
      <c r="G201" s="72"/>
      <c r="H201" s="29"/>
      <c r="I201" s="29"/>
      <c r="J201" s="72"/>
      <c r="K201" s="72"/>
      <c r="L201" s="72"/>
      <c r="M201" s="72"/>
      <c r="N201" s="72"/>
      <c r="O201" s="72"/>
      <c r="P201" s="72"/>
    </row>
    <row r="202" spans="1:16">
      <c r="A202" s="70"/>
      <c r="B202" s="167"/>
      <c r="C202" s="70"/>
      <c r="D202" s="71"/>
      <c r="E202" s="72"/>
      <c r="F202" s="72"/>
      <c r="G202" s="72"/>
      <c r="H202" s="29"/>
      <c r="I202" s="29"/>
      <c r="J202" s="72"/>
      <c r="K202" s="72"/>
      <c r="L202" s="72"/>
      <c r="M202" s="72"/>
      <c r="N202" s="72"/>
      <c r="O202" s="72"/>
      <c r="P202" s="72"/>
    </row>
    <row r="203" spans="1:16">
      <c r="A203" s="70"/>
      <c r="B203" s="167"/>
      <c r="C203" s="70"/>
      <c r="D203" s="71"/>
      <c r="E203" s="72"/>
      <c r="F203" s="72"/>
      <c r="G203" s="72"/>
      <c r="H203" s="29"/>
      <c r="I203" s="29"/>
      <c r="J203" s="72"/>
      <c r="K203" s="72"/>
      <c r="L203" s="72"/>
      <c r="M203" s="72"/>
      <c r="N203" s="72"/>
      <c r="O203" s="72"/>
      <c r="P203" s="72"/>
    </row>
    <row r="204" spans="1:16">
      <c r="A204" s="70"/>
      <c r="B204" s="167"/>
      <c r="C204" s="70"/>
      <c r="D204" s="71"/>
      <c r="E204" s="72"/>
      <c r="F204" s="72"/>
      <c r="G204" s="72"/>
      <c r="H204" s="29"/>
      <c r="I204" s="29"/>
      <c r="J204" s="72"/>
      <c r="K204" s="72"/>
      <c r="L204" s="72"/>
      <c r="M204" s="72"/>
      <c r="N204" s="72"/>
      <c r="O204" s="72"/>
      <c r="P204" s="72"/>
    </row>
    <row r="205" spans="1:16">
      <c r="A205" s="70"/>
      <c r="B205" s="167"/>
      <c r="C205" s="70"/>
      <c r="D205" s="71"/>
      <c r="E205" s="72"/>
      <c r="F205" s="72"/>
      <c r="G205" s="72"/>
      <c r="H205" s="29"/>
      <c r="I205" s="29"/>
      <c r="J205" s="72"/>
      <c r="K205" s="72"/>
      <c r="L205" s="72"/>
      <c r="M205" s="72"/>
      <c r="N205" s="72"/>
      <c r="O205" s="72"/>
      <c r="P205" s="72"/>
    </row>
    <row r="206" spans="1:16">
      <c r="A206" s="70"/>
      <c r="B206" s="167"/>
      <c r="C206" s="70"/>
      <c r="D206" s="71"/>
      <c r="E206" s="72"/>
      <c r="F206" s="72"/>
      <c r="G206" s="72"/>
      <c r="H206" s="29"/>
      <c r="I206" s="29"/>
      <c r="J206" s="72"/>
      <c r="K206" s="72"/>
      <c r="L206" s="72"/>
      <c r="M206" s="72"/>
      <c r="N206" s="72"/>
      <c r="O206" s="72"/>
      <c r="P206" s="72"/>
    </row>
    <row r="207" spans="1:16">
      <c r="A207" s="70"/>
      <c r="B207" s="167"/>
      <c r="C207" s="70"/>
      <c r="D207" s="71"/>
      <c r="E207" s="72"/>
      <c r="F207" s="72"/>
      <c r="G207" s="72"/>
      <c r="H207" s="29"/>
      <c r="I207" s="29"/>
      <c r="J207" s="72"/>
      <c r="K207" s="72"/>
      <c r="L207" s="72"/>
      <c r="M207" s="72"/>
      <c r="N207" s="72"/>
      <c r="O207" s="72"/>
      <c r="P207" s="72"/>
    </row>
    <row r="208" spans="1:16">
      <c r="A208" s="70"/>
      <c r="B208" s="167"/>
      <c r="C208" s="70"/>
      <c r="D208" s="71"/>
      <c r="E208" s="72"/>
      <c r="F208" s="72"/>
      <c r="G208" s="72"/>
      <c r="H208" s="29"/>
      <c r="I208" s="29"/>
      <c r="J208" s="72"/>
      <c r="K208" s="72"/>
      <c r="L208" s="72"/>
      <c r="M208" s="72"/>
      <c r="N208" s="72"/>
      <c r="O208" s="72"/>
      <c r="P208" s="72"/>
    </row>
    <row r="209" spans="1:16">
      <c r="A209" s="70"/>
      <c r="B209" s="167"/>
      <c r="C209" s="70"/>
      <c r="D209" s="71"/>
      <c r="E209" s="72"/>
      <c r="F209" s="72"/>
      <c r="G209" s="72"/>
      <c r="H209" s="29"/>
      <c r="I209" s="29"/>
      <c r="J209" s="72"/>
      <c r="K209" s="72"/>
      <c r="L209" s="72"/>
      <c r="M209" s="72"/>
      <c r="N209" s="72"/>
      <c r="O209" s="72"/>
      <c r="P209" s="72"/>
    </row>
    <row r="210" spans="1:16">
      <c r="A210" s="70"/>
      <c r="B210" s="167"/>
      <c r="C210" s="70"/>
      <c r="D210" s="71"/>
      <c r="E210" s="72"/>
      <c r="F210" s="72"/>
      <c r="G210" s="72"/>
      <c r="H210" s="29"/>
      <c r="I210" s="29"/>
      <c r="J210" s="72"/>
      <c r="K210" s="72"/>
      <c r="L210" s="72"/>
      <c r="M210" s="72"/>
      <c r="N210" s="72"/>
      <c r="O210" s="72"/>
      <c r="P210" s="72"/>
    </row>
    <row r="211" spans="1:16">
      <c r="A211" s="70"/>
      <c r="B211" s="167"/>
      <c r="C211" s="70"/>
      <c r="D211" s="71"/>
      <c r="E211" s="72"/>
      <c r="F211" s="72"/>
      <c r="G211" s="72"/>
      <c r="H211" s="29"/>
      <c r="I211" s="29"/>
      <c r="J211" s="72"/>
      <c r="K211" s="72"/>
      <c r="L211" s="72"/>
      <c r="M211" s="72"/>
      <c r="N211" s="72"/>
      <c r="O211" s="72"/>
      <c r="P211" s="72"/>
    </row>
    <row r="212" spans="1:16">
      <c r="A212" s="70"/>
      <c r="B212" s="167"/>
      <c r="C212" s="70"/>
      <c r="D212" s="71"/>
      <c r="E212" s="72"/>
      <c r="F212" s="72"/>
      <c r="G212" s="72"/>
      <c r="H212" s="29"/>
      <c r="I212" s="29"/>
      <c r="J212" s="72"/>
      <c r="K212" s="72"/>
      <c r="L212" s="72"/>
      <c r="M212" s="72"/>
      <c r="N212" s="72"/>
      <c r="O212" s="72"/>
      <c r="P212" s="72"/>
    </row>
    <row r="213" spans="1:16">
      <c r="A213" s="70"/>
      <c r="B213" s="167"/>
      <c r="C213" s="70"/>
      <c r="D213" s="71"/>
      <c r="E213" s="72"/>
      <c r="F213" s="72"/>
      <c r="G213" s="72"/>
      <c r="H213" s="29"/>
      <c r="I213" s="29"/>
      <c r="J213" s="72"/>
      <c r="K213" s="72"/>
      <c r="L213" s="72"/>
      <c r="M213" s="72"/>
      <c r="N213" s="72"/>
      <c r="O213" s="72"/>
      <c r="P213" s="72"/>
    </row>
    <row r="214" spans="1:16">
      <c r="A214" s="70"/>
      <c r="B214" s="167"/>
      <c r="C214" s="70"/>
      <c r="D214" s="71"/>
      <c r="E214" s="72"/>
      <c r="F214" s="72"/>
      <c r="G214" s="72"/>
      <c r="H214" s="29"/>
      <c r="I214" s="29"/>
      <c r="J214" s="72"/>
      <c r="K214" s="72"/>
      <c r="L214" s="72"/>
      <c r="M214" s="72"/>
      <c r="N214" s="72"/>
      <c r="O214" s="72"/>
      <c r="P214" s="72"/>
    </row>
    <row r="215" spans="1:16">
      <c r="A215" s="70"/>
      <c r="B215" s="167"/>
      <c r="C215" s="70"/>
      <c r="D215" s="71"/>
      <c r="E215" s="72"/>
      <c r="F215" s="72"/>
      <c r="G215" s="72"/>
      <c r="H215" s="29"/>
      <c r="I215" s="29"/>
      <c r="J215" s="72"/>
      <c r="K215" s="72"/>
      <c r="L215" s="72"/>
      <c r="M215" s="72"/>
      <c r="N215" s="72"/>
      <c r="O215" s="72"/>
      <c r="P215" s="72"/>
    </row>
    <row r="216" spans="1:16">
      <c r="A216" s="70"/>
      <c r="B216" s="167"/>
      <c r="C216" s="70"/>
      <c r="D216" s="71"/>
      <c r="E216" s="72"/>
      <c r="F216" s="72"/>
      <c r="G216" s="72"/>
      <c r="H216" s="29"/>
      <c r="I216" s="29"/>
      <c r="J216" s="72"/>
      <c r="K216" s="72"/>
      <c r="L216" s="72"/>
      <c r="M216" s="72"/>
      <c r="N216" s="72"/>
      <c r="O216" s="72"/>
      <c r="P216" s="72"/>
    </row>
    <row r="217" spans="1:16">
      <c r="A217" s="70"/>
      <c r="B217" s="167"/>
      <c r="C217" s="70"/>
      <c r="D217" s="71"/>
      <c r="E217" s="72"/>
      <c r="F217" s="72"/>
      <c r="G217" s="72"/>
      <c r="H217" s="29"/>
      <c r="I217" s="29"/>
      <c r="J217" s="72"/>
      <c r="K217" s="72"/>
      <c r="L217" s="72"/>
      <c r="M217" s="72"/>
      <c r="N217" s="72"/>
      <c r="O217" s="72"/>
      <c r="P217" s="72"/>
    </row>
    <row r="218" spans="1:16">
      <c r="A218" s="70"/>
      <c r="B218" s="167"/>
      <c r="C218" s="70"/>
      <c r="D218" s="71"/>
      <c r="E218" s="72"/>
      <c r="F218" s="72"/>
      <c r="G218" s="72"/>
      <c r="H218" s="29"/>
      <c r="I218" s="29"/>
      <c r="J218" s="72"/>
      <c r="K218" s="72"/>
      <c r="L218" s="72"/>
      <c r="M218" s="72"/>
      <c r="N218" s="72"/>
      <c r="O218" s="72"/>
      <c r="P218" s="72"/>
    </row>
    <row r="219" spans="1:16">
      <c r="A219" s="70"/>
      <c r="B219" s="167"/>
      <c r="C219" s="70"/>
      <c r="D219" s="71"/>
      <c r="E219" s="72"/>
      <c r="F219" s="72"/>
      <c r="G219" s="72"/>
      <c r="H219" s="29"/>
      <c r="I219" s="29"/>
      <c r="J219" s="72"/>
      <c r="K219" s="72"/>
      <c r="L219" s="72"/>
      <c r="M219" s="72"/>
      <c r="N219" s="72"/>
      <c r="O219" s="72"/>
      <c r="P219" s="72"/>
    </row>
    <row r="220" spans="1:16">
      <c r="A220" s="70"/>
      <c r="B220" s="167"/>
      <c r="C220" s="70"/>
      <c r="D220" s="71"/>
      <c r="E220" s="72"/>
      <c r="F220" s="72"/>
      <c r="G220" s="72"/>
      <c r="H220" s="29"/>
      <c r="I220" s="29"/>
      <c r="J220" s="72"/>
      <c r="K220" s="72"/>
      <c r="L220" s="72"/>
      <c r="M220" s="72"/>
      <c r="N220" s="72"/>
      <c r="O220" s="72"/>
      <c r="P220" s="72"/>
    </row>
    <row r="221" spans="1:16">
      <c r="A221" s="70"/>
      <c r="B221" s="167"/>
      <c r="C221" s="70"/>
      <c r="D221" s="71"/>
      <c r="E221" s="72"/>
      <c r="F221" s="72"/>
      <c r="G221" s="72"/>
      <c r="H221" s="29"/>
      <c r="I221" s="29"/>
      <c r="J221" s="72"/>
      <c r="K221" s="72"/>
      <c r="L221" s="72"/>
      <c r="M221" s="72"/>
      <c r="N221" s="72"/>
      <c r="O221" s="72"/>
      <c r="P221" s="72"/>
    </row>
    <row r="222" spans="1:16">
      <c r="A222" s="70"/>
      <c r="B222" s="167"/>
      <c r="C222" s="70"/>
      <c r="D222" s="71"/>
      <c r="E222" s="72"/>
      <c r="F222" s="72"/>
      <c r="G222" s="72"/>
      <c r="H222" s="29"/>
      <c r="I222" s="29"/>
      <c r="J222" s="72"/>
      <c r="K222" s="72"/>
      <c r="L222" s="72"/>
      <c r="M222" s="72"/>
      <c r="N222" s="72"/>
      <c r="O222" s="72"/>
      <c r="P222" s="72"/>
    </row>
    <row r="223" spans="1:16">
      <c r="A223" s="70"/>
      <c r="B223" s="167"/>
      <c r="C223" s="70"/>
      <c r="D223" s="71"/>
      <c r="E223" s="72"/>
      <c r="F223" s="72"/>
      <c r="G223" s="72"/>
      <c r="H223" s="29"/>
      <c r="I223" s="29"/>
      <c r="J223" s="72"/>
      <c r="K223" s="72"/>
      <c r="L223" s="72"/>
      <c r="M223" s="72"/>
      <c r="N223" s="72"/>
      <c r="O223" s="72"/>
      <c r="P223" s="72"/>
    </row>
    <row r="224" spans="1:16">
      <c r="A224" s="70"/>
      <c r="B224" s="167"/>
      <c r="C224" s="70"/>
      <c r="D224" s="71"/>
      <c r="E224" s="72"/>
      <c r="F224" s="72"/>
      <c r="G224" s="72"/>
      <c r="H224" s="29"/>
      <c r="I224" s="29"/>
      <c r="J224" s="72"/>
      <c r="K224" s="72"/>
      <c r="L224" s="72"/>
      <c r="M224" s="72"/>
      <c r="N224" s="72"/>
      <c r="O224" s="72"/>
      <c r="P224" s="72"/>
    </row>
    <row r="225" spans="1:16">
      <c r="A225" s="70"/>
      <c r="B225" s="167"/>
      <c r="C225" s="70"/>
      <c r="D225" s="71"/>
      <c r="E225" s="72"/>
      <c r="F225" s="72"/>
      <c r="G225" s="72"/>
      <c r="H225" s="29"/>
      <c r="I225" s="29"/>
      <c r="J225" s="72"/>
      <c r="K225" s="72"/>
      <c r="L225" s="72"/>
      <c r="M225" s="72"/>
      <c r="N225" s="72"/>
      <c r="O225" s="72"/>
      <c r="P225" s="72"/>
    </row>
    <row r="226" spans="1:16">
      <c r="A226" s="70"/>
      <c r="B226" s="167"/>
      <c r="C226" s="70"/>
      <c r="D226" s="71"/>
      <c r="E226" s="72"/>
      <c r="F226" s="72"/>
      <c r="G226" s="72"/>
      <c r="H226" s="29"/>
      <c r="I226" s="29"/>
      <c r="J226" s="72"/>
      <c r="K226" s="72"/>
      <c r="L226" s="72"/>
      <c r="M226" s="72"/>
      <c r="N226" s="72"/>
      <c r="O226" s="72"/>
      <c r="P226" s="72"/>
    </row>
    <row r="227" spans="1:16">
      <c r="A227" s="70"/>
      <c r="B227" s="167"/>
      <c r="C227" s="70"/>
      <c r="D227" s="71"/>
      <c r="E227" s="72"/>
      <c r="F227" s="72"/>
      <c r="G227" s="72"/>
      <c r="H227" s="29"/>
      <c r="I227" s="29"/>
      <c r="J227" s="72"/>
      <c r="K227" s="72"/>
      <c r="L227" s="72"/>
      <c r="M227" s="72"/>
      <c r="N227" s="72"/>
      <c r="O227" s="72"/>
      <c r="P227" s="72"/>
    </row>
    <row r="228" spans="1:16">
      <c r="A228" s="70"/>
      <c r="B228" s="167"/>
      <c r="C228" s="70"/>
      <c r="D228" s="71"/>
      <c r="E228" s="72"/>
      <c r="F228" s="72"/>
      <c r="G228" s="72"/>
      <c r="H228" s="29"/>
      <c r="I228" s="29"/>
      <c r="J228" s="72"/>
      <c r="K228" s="72"/>
      <c r="L228" s="72"/>
      <c r="M228" s="72"/>
      <c r="N228" s="72"/>
      <c r="O228" s="72"/>
      <c r="P228" s="72"/>
    </row>
    <row r="229" spans="1:16">
      <c r="A229" s="70"/>
      <c r="B229" s="167"/>
      <c r="C229" s="70"/>
      <c r="D229" s="71"/>
      <c r="E229" s="72"/>
      <c r="F229" s="72"/>
      <c r="G229" s="72"/>
      <c r="H229" s="29"/>
      <c r="I229" s="29"/>
      <c r="J229" s="72"/>
      <c r="K229" s="72"/>
      <c r="L229" s="72"/>
      <c r="M229" s="72"/>
      <c r="N229" s="72"/>
      <c r="O229" s="72"/>
      <c r="P229" s="72"/>
    </row>
    <row r="230" spans="1:16">
      <c r="A230" s="70"/>
      <c r="B230" s="167"/>
      <c r="C230" s="70"/>
      <c r="D230" s="71"/>
      <c r="E230" s="72"/>
      <c r="F230" s="72"/>
      <c r="G230" s="72"/>
      <c r="H230" s="29"/>
      <c r="I230" s="29"/>
      <c r="J230" s="72"/>
      <c r="K230" s="72"/>
      <c r="L230" s="72"/>
      <c r="M230" s="72"/>
      <c r="N230" s="72"/>
      <c r="O230" s="72"/>
      <c r="P230" s="72"/>
    </row>
    <row r="231" spans="1:16">
      <c r="A231" s="70"/>
      <c r="B231" s="167"/>
      <c r="C231" s="70"/>
      <c r="D231" s="71"/>
      <c r="E231" s="72"/>
      <c r="F231" s="72"/>
      <c r="G231" s="72"/>
      <c r="H231" s="29"/>
      <c r="I231" s="29"/>
      <c r="J231" s="72"/>
      <c r="K231" s="72"/>
      <c r="L231" s="72"/>
      <c r="M231" s="72"/>
      <c r="N231" s="72"/>
      <c r="O231" s="72"/>
      <c r="P231" s="72"/>
    </row>
    <row r="232" spans="1:16">
      <c r="A232" s="70"/>
      <c r="B232" s="167"/>
      <c r="C232" s="70"/>
      <c r="D232" s="71"/>
      <c r="E232" s="72"/>
      <c r="F232" s="72"/>
      <c r="G232" s="72"/>
      <c r="H232" s="29"/>
      <c r="I232" s="29"/>
      <c r="J232" s="72"/>
      <c r="K232" s="72"/>
      <c r="L232" s="72"/>
      <c r="M232" s="72"/>
      <c r="N232" s="72"/>
      <c r="O232" s="72"/>
      <c r="P232" s="72"/>
    </row>
    <row r="233" spans="1:16">
      <c r="A233" s="70"/>
      <c r="B233" s="167"/>
      <c r="C233" s="70"/>
      <c r="D233" s="71"/>
      <c r="E233" s="72"/>
      <c r="F233" s="72"/>
      <c r="G233" s="72"/>
      <c r="H233" s="29"/>
      <c r="I233" s="29"/>
      <c r="J233" s="72"/>
      <c r="K233" s="72"/>
      <c r="L233" s="72"/>
      <c r="M233" s="72"/>
      <c r="N233" s="72"/>
      <c r="O233" s="72"/>
      <c r="P233" s="72"/>
    </row>
    <row r="234" spans="1:16">
      <c r="A234" s="70"/>
      <c r="B234" s="167"/>
      <c r="C234" s="70"/>
      <c r="D234" s="71"/>
      <c r="E234" s="72"/>
      <c r="F234" s="72"/>
      <c r="G234" s="72"/>
      <c r="H234" s="29"/>
      <c r="I234" s="29"/>
      <c r="J234" s="72"/>
      <c r="K234" s="72"/>
      <c r="L234" s="72"/>
      <c r="M234" s="72"/>
      <c r="N234" s="72"/>
      <c r="O234" s="72"/>
      <c r="P234" s="72"/>
    </row>
    <row r="235" spans="1:16">
      <c r="A235" s="70"/>
      <c r="B235" s="167"/>
      <c r="C235" s="70"/>
      <c r="D235" s="71"/>
      <c r="E235" s="72"/>
      <c r="F235" s="72"/>
      <c r="G235" s="72"/>
      <c r="H235" s="29"/>
      <c r="I235" s="29"/>
      <c r="J235" s="72"/>
      <c r="K235" s="72"/>
      <c r="L235" s="72"/>
      <c r="M235" s="72"/>
      <c r="N235" s="72"/>
      <c r="O235" s="72"/>
      <c r="P235" s="72"/>
    </row>
    <row r="236" spans="1:16">
      <c r="A236" s="70"/>
      <c r="B236" s="167"/>
      <c r="C236" s="70"/>
      <c r="D236" s="71"/>
      <c r="E236" s="72"/>
      <c r="F236" s="72"/>
      <c r="G236" s="72"/>
      <c r="H236" s="29"/>
      <c r="I236" s="29"/>
      <c r="J236" s="72"/>
      <c r="K236" s="72"/>
      <c r="L236" s="72"/>
      <c r="M236" s="72"/>
      <c r="N236" s="72"/>
      <c r="O236" s="72"/>
      <c r="P236" s="72"/>
    </row>
    <row r="237" spans="1:16">
      <c r="A237" s="70"/>
      <c r="B237" s="167"/>
      <c r="C237" s="70"/>
      <c r="D237" s="71"/>
      <c r="E237" s="72"/>
      <c r="F237" s="72"/>
      <c r="G237" s="72"/>
      <c r="H237" s="29"/>
      <c r="I237" s="29"/>
      <c r="J237" s="72"/>
      <c r="K237" s="72"/>
      <c r="L237" s="72"/>
      <c r="M237" s="72"/>
      <c r="N237" s="72"/>
      <c r="O237" s="72"/>
      <c r="P237" s="72"/>
    </row>
    <row r="238" spans="1:16">
      <c r="A238" s="70"/>
      <c r="B238" s="167"/>
      <c r="C238" s="70"/>
      <c r="D238" s="71"/>
      <c r="E238" s="72"/>
      <c r="F238" s="72"/>
      <c r="G238" s="72"/>
      <c r="H238" s="29"/>
      <c r="I238" s="29"/>
      <c r="J238" s="72"/>
      <c r="K238" s="72"/>
      <c r="L238" s="72"/>
      <c r="M238" s="72"/>
      <c r="N238" s="72"/>
      <c r="O238" s="72"/>
      <c r="P238" s="72"/>
    </row>
    <row r="239" spans="1:16">
      <c r="A239" s="70"/>
      <c r="B239" s="167"/>
      <c r="C239" s="70"/>
      <c r="D239" s="71"/>
      <c r="E239" s="72"/>
      <c r="F239" s="72"/>
      <c r="G239" s="72"/>
      <c r="H239" s="29"/>
      <c r="I239" s="29"/>
      <c r="J239" s="72"/>
      <c r="K239" s="72"/>
      <c r="L239" s="72"/>
      <c r="M239" s="72"/>
      <c r="N239" s="72"/>
      <c r="O239" s="72"/>
      <c r="P239" s="72"/>
    </row>
    <row r="240" spans="1:16">
      <c r="A240" s="70"/>
      <c r="B240" s="167"/>
      <c r="C240" s="70"/>
      <c r="D240" s="71"/>
      <c r="E240" s="72"/>
      <c r="F240" s="72"/>
      <c r="G240" s="72"/>
      <c r="H240" s="29"/>
      <c r="I240" s="29"/>
      <c r="J240" s="72"/>
      <c r="K240" s="72"/>
      <c r="L240" s="72"/>
      <c r="M240" s="72"/>
      <c r="N240" s="72"/>
      <c r="O240" s="72"/>
      <c r="P240" s="72"/>
    </row>
    <row r="241" spans="1:16">
      <c r="A241" s="70"/>
      <c r="B241" s="167"/>
      <c r="C241" s="70"/>
      <c r="D241" s="71"/>
      <c r="E241" s="72"/>
      <c r="F241" s="72"/>
      <c r="G241" s="72"/>
      <c r="H241" s="29"/>
      <c r="I241" s="29"/>
      <c r="J241" s="72"/>
      <c r="K241" s="72"/>
      <c r="L241" s="72"/>
      <c r="M241" s="72"/>
      <c r="N241" s="72"/>
      <c r="O241" s="72"/>
      <c r="P241" s="72"/>
    </row>
    <row r="242" spans="1:16">
      <c r="A242" s="70"/>
      <c r="B242" s="167"/>
      <c r="C242" s="70"/>
      <c r="D242" s="71"/>
      <c r="E242" s="72"/>
      <c r="F242" s="72"/>
      <c r="G242" s="72"/>
      <c r="H242" s="29"/>
      <c r="I242" s="29"/>
      <c r="J242" s="72"/>
      <c r="K242" s="72"/>
      <c r="L242" s="72"/>
      <c r="M242" s="72"/>
      <c r="N242" s="72"/>
      <c r="O242" s="72"/>
      <c r="P242" s="72"/>
    </row>
    <row r="243" spans="1:16">
      <c r="A243" s="70"/>
      <c r="B243" s="167"/>
      <c r="C243" s="70"/>
      <c r="D243" s="71"/>
      <c r="E243" s="72"/>
      <c r="F243" s="72"/>
      <c r="G243" s="72"/>
      <c r="H243" s="29"/>
      <c r="I243" s="29"/>
      <c r="J243" s="72"/>
      <c r="K243" s="72"/>
      <c r="L243" s="72"/>
      <c r="M243" s="72"/>
      <c r="N243" s="72"/>
      <c r="O243" s="72"/>
      <c r="P243" s="72"/>
    </row>
    <row r="244" spans="1:16">
      <c r="A244" s="70"/>
      <c r="B244" s="167"/>
      <c r="C244" s="70"/>
      <c r="D244" s="71"/>
      <c r="E244" s="72"/>
      <c r="F244" s="72"/>
      <c r="G244" s="72"/>
      <c r="H244" s="29"/>
      <c r="I244" s="29"/>
      <c r="J244" s="72"/>
      <c r="K244" s="72"/>
      <c r="L244" s="72"/>
      <c r="M244" s="72"/>
      <c r="N244" s="72"/>
      <c r="O244" s="72"/>
      <c r="P244" s="72"/>
    </row>
    <row r="245" spans="1:16">
      <c r="A245" s="70"/>
      <c r="B245" s="167"/>
      <c r="C245" s="70"/>
      <c r="D245" s="71"/>
      <c r="E245" s="72"/>
      <c r="F245" s="72"/>
      <c r="G245" s="72"/>
      <c r="H245" s="29"/>
      <c r="I245" s="29"/>
      <c r="J245" s="72"/>
      <c r="K245" s="72"/>
      <c r="L245" s="72"/>
      <c r="M245" s="72"/>
      <c r="N245" s="72"/>
      <c r="O245" s="72"/>
      <c r="P245" s="72"/>
    </row>
    <row r="246" spans="1:16">
      <c r="A246" s="70"/>
      <c r="B246" s="167"/>
      <c r="C246" s="70"/>
      <c r="D246" s="71"/>
      <c r="E246" s="72"/>
      <c r="F246" s="72"/>
      <c r="G246" s="72"/>
      <c r="H246" s="29"/>
      <c r="I246" s="29"/>
      <c r="J246" s="72"/>
      <c r="K246" s="72"/>
      <c r="L246" s="72"/>
      <c r="M246" s="72"/>
      <c r="N246" s="72"/>
      <c r="O246" s="72"/>
      <c r="P246" s="72"/>
    </row>
    <row r="247" spans="1:16">
      <c r="A247" s="70"/>
      <c r="B247" s="167"/>
      <c r="C247" s="70"/>
      <c r="D247" s="71"/>
      <c r="E247" s="72"/>
      <c r="F247" s="72"/>
      <c r="G247" s="72"/>
      <c r="H247" s="29"/>
      <c r="I247" s="29"/>
      <c r="J247" s="72"/>
      <c r="K247" s="72"/>
      <c r="L247" s="72"/>
      <c r="M247" s="72"/>
      <c r="N247" s="72"/>
      <c r="O247" s="72"/>
      <c r="P247" s="72"/>
    </row>
    <row r="248" spans="1:16">
      <c r="A248" s="70"/>
      <c r="B248" s="167"/>
      <c r="C248" s="70"/>
      <c r="D248" s="71"/>
      <c r="E248" s="72"/>
      <c r="F248" s="72"/>
      <c r="G248" s="72"/>
      <c r="H248" s="29"/>
      <c r="I248" s="29"/>
      <c r="J248" s="72"/>
      <c r="K248" s="72"/>
      <c r="L248" s="72"/>
      <c r="M248" s="72"/>
      <c r="N248" s="72"/>
      <c r="O248" s="72"/>
      <c r="P248" s="72"/>
    </row>
    <row r="249" spans="1:16">
      <c r="A249" s="70"/>
      <c r="B249" s="167"/>
      <c r="C249" s="70"/>
      <c r="D249" s="71"/>
      <c r="E249" s="72"/>
      <c r="F249" s="72"/>
      <c r="G249" s="72"/>
      <c r="H249" s="29"/>
      <c r="I249" s="29"/>
      <c r="J249" s="72"/>
      <c r="K249" s="72"/>
      <c r="L249" s="72"/>
      <c r="M249" s="72"/>
      <c r="N249" s="72"/>
      <c r="O249" s="72"/>
      <c r="P249" s="72"/>
    </row>
    <row r="250" spans="1:16">
      <c r="A250" s="70"/>
      <c r="B250" s="167"/>
      <c r="C250" s="70"/>
      <c r="D250" s="71"/>
      <c r="E250" s="72"/>
      <c r="F250" s="72"/>
      <c r="G250" s="72"/>
      <c r="H250" s="29"/>
      <c r="I250" s="29"/>
      <c r="J250" s="72"/>
      <c r="K250" s="72"/>
      <c r="L250" s="72"/>
      <c r="M250" s="72"/>
      <c r="N250" s="72"/>
      <c r="O250" s="72"/>
      <c r="P250" s="72"/>
    </row>
    <row r="251" spans="1:16">
      <c r="A251" s="70"/>
      <c r="B251" s="167"/>
      <c r="C251" s="70"/>
      <c r="D251" s="71"/>
      <c r="E251" s="72"/>
      <c r="F251" s="72"/>
      <c r="G251" s="72"/>
      <c r="H251" s="29"/>
      <c r="I251" s="29"/>
      <c r="J251" s="72"/>
      <c r="K251" s="72"/>
      <c r="L251" s="72"/>
      <c r="M251" s="72"/>
      <c r="N251" s="72"/>
      <c r="O251" s="72"/>
      <c r="P251" s="72"/>
    </row>
    <row r="252" spans="1:16">
      <c r="A252" s="70"/>
      <c r="B252" s="167"/>
      <c r="C252" s="70"/>
      <c r="D252" s="71"/>
      <c r="E252" s="72"/>
      <c r="F252" s="72"/>
      <c r="G252" s="72"/>
      <c r="H252" s="29"/>
      <c r="I252" s="29"/>
      <c r="J252" s="72"/>
      <c r="K252" s="72"/>
      <c r="L252" s="72"/>
      <c r="M252" s="72"/>
      <c r="N252" s="72"/>
      <c r="O252" s="72"/>
      <c r="P252" s="72"/>
    </row>
    <row r="253" spans="1:16">
      <c r="A253" s="70"/>
      <c r="B253" s="167"/>
      <c r="C253" s="70"/>
      <c r="D253" s="71"/>
      <c r="E253" s="72"/>
      <c r="F253" s="72"/>
      <c r="G253" s="72"/>
      <c r="H253" s="29"/>
      <c r="I253" s="29"/>
      <c r="J253" s="72"/>
      <c r="K253" s="72"/>
      <c r="L253" s="72"/>
      <c r="M253" s="72"/>
      <c r="N253" s="72"/>
      <c r="O253" s="72"/>
      <c r="P253" s="72"/>
    </row>
    <row r="254" spans="1:16">
      <c r="A254" s="70"/>
      <c r="B254" s="167"/>
      <c r="C254" s="70"/>
      <c r="D254" s="71"/>
      <c r="E254" s="72"/>
      <c r="F254" s="72"/>
      <c r="G254" s="72"/>
      <c r="H254" s="29"/>
      <c r="I254" s="29"/>
      <c r="J254" s="72"/>
      <c r="K254" s="72"/>
      <c r="L254" s="72"/>
      <c r="M254" s="72"/>
      <c r="N254" s="72"/>
      <c r="O254" s="72"/>
      <c r="P254" s="72"/>
    </row>
    <row r="255" spans="1:16">
      <c r="A255" s="70"/>
      <c r="B255" s="167"/>
      <c r="C255" s="70"/>
      <c r="D255" s="71"/>
      <c r="E255" s="72"/>
      <c r="F255" s="72"/>
      <c r="G255" s="72"/>
      <c r="H255" s="29"/>
      <c r="I255" s="29"/>
      <c r="J255" s="72"/>
      <c r="K255" s="72"/>
      <c r="L255" s="72"/>
      <c r="M255" s="72"/>
      <c r="N255" s="72"/>
      <c r="O255" s="72"/>
      <c r="P255" s="72"/>
    </row>
    <row r="256" spans="1:16">
      <c r="A256" s="70"/>
      <c r="B256" s="167"/>
      <c r="C256" s="70"/>
      <c r="D256" s="71"/>
      <c r="E256" s="72"/>
      <c r="F256" s="72"/>
      <c r="G256" s="72"/>
      <c r="H256" s="29"/>
      <c r="I256" s="29"/>
      <c r="J256" s="72"/>
      <c r="K256" s="72"/>
      <c r="L256" s="72"/>
      <c r="M256" s="72"/>
      <c r="N256" s="72"/>
      <c r="O256" s="72"/>
      <c r="P256" s="72"/>
    </row>
    <row r="257" spans="1:16">
      <c r="A257" s="70"/>
      <c r="B257" s="167"/>
      <c r="C257" s="70"/>
      <c r="D257" s="71"/>
      <c r="E257" s="72"/>
      <c r="F257" s="72"/>
      <c r="G257" s="72"/>
      <c r="H257" s="29"/>
      <c r="I257" s="29"/>
      <c r="J257" s="72"/>
      <c r="K257" s="72"/>
      <c r="L257" s="72"/>
      <c r="M257" s="72"/>
      <c r="N257" s="72"/>
      <c r="O257" s="72"/>
      <c r="P257" s="72"/>
    </row>
    <row r="258" spans="1:16">
      <c r="A258" s="70"/>
      <c r="B258" s="167"/>
      <c r="C258" s="70"/>
      <c r="D258" s="71"/>
      <c r="E258" s="72"/>
      <c r="F258" s="72"/>
      <c r="G258" s="72"/>
      <c r="H258" s="29"/>
      <c r="I258" s="29"/>
      <c r="J258" s="72"/>
      <c r="K258" s="72"/>
      <c r="L258" s="72"/>
      <c r="M258" s="72"/>
      <c r="N258" s="72"/>
      <c r="O258" s="72"/>
      <c r="P258" s="72"/>
    </row>
    <row r="259" spans="1:16">
      <c r="A259" s="70"/>
      <c r="B259" s="167"/>
      <c r="C259" s="70"/>
      <c r="D259" s="71"/>
      <c r="E259" s="72"/>
      <c r="F259" s="72"/>
      <c r="G259" s="72"/>
      <c r="H259" s="29"/>
      <c r="I259" s="29"/>
      <c r="J259" s="72"/>
      <c r="K259" s="72"/>
      <c r="L259" s="72"/>
      <c r="M259" s="72"/>
      <c r="N259" s="72"/>
      <c r="O259" s="72"/>
      <c r="P259" s="72"/>
    </row>
    <row r="260" spans="1:16">
      <c r="A260" s="70"/>
      <c r="B260" s="167"/>
      <c r="C260" s="70"/>
      <c r="D260" s="71"/>
      <c r="E260" s="72"/>
      <c r="F260" s="72"/>
      <c r="G260" s="72"/>
      <c r="H260" s="29"/>
      <c r="I260" s="29"/>
      <c r="J260" s="72"/>
      <c r="K260" s="72"/>
      <c r="L260" s="72"/>
      <c r="M260" s="72"/>
      <c r="N260" s="72"/>
      <c r="O260" s="72"/>
      <c r="P260" s="72"/>
    </row>
    <row r="261" spans="1:16">
      <c r="A261" s="70"/>
      <c r="B261" s="167"/>
      <c r="C261" s="70"/>
      <c r="D261" s="71"/>
      <c r="E261" s="72"/>
      <c r="F261" s="72"/>
      <c r="G261" s="72"/>
      <c r="H261" s="29"/>
      <c r="I261" s="29"/>
      <c r="J261" s="72"/>
      <c r="K261" s="72"/>
      <c r="L261" s="72"/>
      <c r="M261" s="72"/>
      <c r="N261" s="72"/>
      <c r="O261" s="72"/>
      <c r="P261" s="72"/>
    </row>
    <row r="262" spans="1:16">
      <c r="A262" s="70"/>
      <c r="B262" s="167"/>
      <c r="C262" s="70"/>
      <c r="D262" s="71"/>
      <c r="E262" s="72"/>
      <c r="F262" s="72"/>
      <c r="G262" s="72"/>
      <c r="H262" s="29"/>
      <c r="I262" s="29"/>
      <c r="J262" s="72"/>
      <c r="K262" s="72"/>
      <c r="L262" s="72"/>
      <c r="M262" s="72"/>
      <c r="N262" s="72"/>
      <c r="O262" s="72"/>
      <c r="P262" s="72"/>
    </row>
    <row r="263" spans="1:16">
      <c r="A263" s="70"/>
      <c r="B263" s="167"/>
      <c r="C263" s="70"/>
      <c r="D263" s="71"/>
      <c r="E263" s="72"/>
      <c r="F263" s="72"/>
      <c r="G263" s="72"/>
      <c r="H263" s="29"/>
      <c r="I263" s="29"/>
      <c r="J263" s="72"/>
      <c r="K263" s="72"/>
      <c r="L263" s="72"/>
      <c r="M263" s="72"/>
      <c r="N263" s="72"/>
      <c r="O263" s="72"/>
      <c r="P263" s="72"/>
    </row>
    <row r="264" spans="1:16">
      <c r="A264" s="70"/>
      <c r="B264" s="167"/>
      <c r="C264" s="70"/>
      <c r="D264" s="71"/>
      <c r="E264" s="72"/>
      <c r="F264" s="72"/>
      <c r="G264" s="72"/>
      <c r="H264" s="29"/>
      <c r="I264" s="29"/>
      <c r="J264" s="72"/>
      <c r="K264" s="72"/>
      <c r="L264" s="72"/>
      <c r="M264" s="72"/>
      <c r="N264" s="72"/>
      <c r="O264" s="72"/>
      <c r="P264" s="72"/>
    </row>
    <row r="265" spans="1:16">
      <c r="A265" s="70"/>
      <c r="B265" s="167"/>
      <c r="C265" s="70"/>
      <c r="D265" s="71"/>
      <c r="E265" s="72"/>
      <c r="F265" s="72"/>
      <c r="G265" s="72"/>
      <c r="H265" s="29"/>
      <c r="I265" s="29"/>
      <c r="J265" s="72"/>
      <c r="K265" s="72"/>
      <c r="L265" s="72"/>
      <c r="M265" s="72"/>
      <c r="N265" s="72"/>
      <c r="O265" s="72"/>
      <c r="P265" s="72"/>
    </row>
    <row r="266" spans="1:16">
      <c r="A266" s="70"/>
      <c r="B266" s="167"/>
      <c r="C266" s="70"/>
      <c r="D266" s="71"/>
      <c r="E266" s="72"/>
      <c r="F266" s="72"/>
      <c r="G266" s="72"/>
      <c r="H266" s="29"/>
      <c r="I266" s="29"/>
      <c r="J266" s="72"/>
      <c r="K266" s="72"/>
      <c r="L266" s="72"/>
      <c r="M266" s="72"/>
      <c r="N266" s="72"/>
      <c r="O266" s="72"/>
      <c r="P266" s="72"/>
    </row>
    <row r="267" spans="1:16">
      <c r="A267" s="70"/>
      <c r="B267" s="167"/>
      <c r="C267" s="70"/>
      <c r="D267" s="71"/>
      <c r="E267" s="72"/>
      <c r="F267" s="72"/>
      <c r="G267" s="72"/>
      <c r="H267" s="29"/>
      <c r="I267" s="29"/>
      <c r="J267" s="72"/>
      <c r="K267" s="72"/>
      <c r="L267" s="72"/>
      <c r="M267" s="72"/>
      <c r="N267" s="72"/>
      <c r="O267" s="72"/>
      <c r="P267" s="72"/>
    </row>
    <row r="268" spans="1:16">
      <c r="A268" s="70"/>
      <c r="B268" s="167"/>
      <c r="C268" s="70"/>
      <c r="D268" s="71"/>
      <c r="E268" s="72"/>
      <c r="F268" s="72"/>
      <c r="G268" s="72"/>
      <c r="H268" s="29"/>
      <c r="I268" s="29"/>
      <c r="J268" s="72"/>
      <c r="K268" s="72"/>
      <c r="L268" s="72"/>
      <c r="M268" s="72"/>
      <c r="N268" s="72"/>
      <c r="O268" s="72"/>
      <c r="P268" s="72"/>
    </row>
    <row r="269" spans="1:16">
      <c r="A269" s="70"/>
      <c r="B269" s="167"/>
      <c r="C269" s="70"/>
      <c r="D269" s="71"/>
      <c r="E269" s="72"/>
      <c r="F269" s="72"/>
      <c r="G269" s="72"/>
      <c r="H269" s="29"/>
      <c r="I269" s="29"/>
      <c r="J269" s="72"/>
      <c r="K269" s="72"/>
      <c r="L269" s="72"/>
      <c r="M269" s="72"/>
      <c r="N269" s="72"/>
      <c r="O269" s="72"/>
      <c r="P269" s="72"/>
    </row>
    <row r="270" spans="1:16">
      <c r="A270" s="70"/>
      <c r="B270" s="167"/>
      <c r="C270" s="70"/>
      <c r="D270" s="71"/>
      <c r="E270" s="72"/>
      <c r="F270" s="72"/>
      <c r="G270" s="72"/>
      <c r="H270" s="29"/>
      <c r="I270" s="29"/>
      <c r="J270" s="72"/>
      <c r="K270" s="72"/>
      <c r="L270" s="72"/>
      <c r="M270" s="72"/>
      <c r="N270" s="72"/>
      <c r="O270" s="72"/>
      <c r="P270" s="72"/>
    </row>
    <row r="271" spans="1:16">
      <c r="A271" s="70"/>
      <c r="B271" s="167"/>
      <c r="C271" s="70"/>
      <c r="D271" s="71"/>
      <c r="E271" s="72"/>
      <c r="F271" s="72"/>
      <c r="G271" s="72"/>
      <c r="H271" s="29"/>
      <c r="I271" s="29"/>
      <c r="J271" s="72"/>
      <c r="K271" s="72"/>
      <c r="L271" s="72"/>
      <c r="M271" s="72"/>
      <c r="N271" s="72"/>
      <c r="O271" s="72"/>
      <c r="P271" s="72"/>
    </row>
    <row r="272" spans="1:16">
      <c r="A272" s="70"/>
      <c r="B272" s="167"/>
      <c r="C272" s="70"/>
      <c r="D272" s="71"/>
      <c r="E272" s="72"/>
      <c r="F272" s="72"/>
      <c r="G272" s="72"/>
      <c r="H272" s="29"/>
      <c r="I272" s="29"/>
      <c r="J272" s="72"/>
      <c r="K272" s="72"/>
      <c r="L272" s="72"/>
      <c r="M272" s="72"/>
      <c r="N272" s="72"/>
      <c r="O272" s="72"/>
      <c r="P272" s="72"/>
    </row>
    <row r="273" spans="1:16">
      <c r="A273" s="70"/>
      <c r="B273" s="167"/>
      <c r="C273" s="70"/>
      <c r="D273" s="71"/>
      <c r="E273" s="72"/>
      <c r="F273" s="72"/>
      <c r="G273" s="72"/>
      <c r="H273" s="29"/>
      <c r="I273" s="29"/>
      <c r="J273" s="72"/>
      <c r="K273" s="72"/>
      <c r="L273" s="72"/>
      <c r="M273" s="72"/>
      <c r="N273" s="72"/>
      <c r="O273" s="72"/>
      <c r="P273" s="72"/>
    </row>
    <row r="274" spans="1:16">
      <c r="A274" s="70"/>
      <c r="B274" s="167"/>
      <c r="C274" s="70"/>
      <c r="D274" s="71"/>
      <c r="E274" s="72"/>
      <c r="F274" s="72"/>
      <c r="G274" s="72"/>
      <c r="H274" s="29"/>
      <c r="I274" s="29"/>
      <c r="J274" s="72"/>
      <c r="K274" s="72"/>
      <c r="L274" s="72"/>
      <c r="M274" s="72"/>
      <c r="N274" s="72"/>
      <c r="O274" s="72"/>
      <c r="P274" s="72"/>
    </row>
    <row r="275" spans="1:16">
      <c r="A275" s="70"/>
      <c r="B275" s="167"/>
      <c r="C275" s="70"/>
      <c r="D275" s="71"/>
      <c r="E275" s="72"/>
      <c r="F275" s="72"/>
      <c r="G275" s="72"/>
      <c r="H275" s="29"/>
      <c r="I275" s="29"/>
      <c r="J275" s="72"/>
      <c r="K275" s="72"/>
      <c r="L275" s="72"/>
      <c r="M275" s="72"/>
      <c r="N275" s="72"/>
      <c r="O275" s="72"/>
      <c r="P275" s="72"/>
    </row>
    <row r="276" spans="1:16">
      <c r="A276" s="70"/>
      <c r="B276" s="167"/>
      <c r="C276" s="70"/>
      <c r="D276" s="71"/>
      <c r="E276" s="72"/>
      <c r="F276" s="72"/>
      <c r="G276" s="72"/>
      <c r="H276" s="29"/>
      <c r="I276" s="29"/>
      <c r="J276" s="72"/>
      <c r="K276" s="72"/>
      <c r="L276" s="72"/>
      <c r="M276" s="72"/>
      <c r="N276" s="72"/>
      <c r="O276" s="72"/>
      <c r="P276" s="72"/>
    </row>
    <row r="277" spans="1:16">
      <c r="A277" s="70"/>
      <c r="B277" s="167"/>
      <c r="C277" s="70"/>
      <c r="D277" s="71"/>
      <c r="E277" s="72"/>
      <c r="F277" s="72"/>
      <c r="G277" s="72"/>
      <c r="H277" s="29"/>
      <c r="I277" s="29"/>
      <c r="J277" s="72"/>
      <c r="K277" s="72"/>
      <c r="L277" s="72"/>
      <c r="M277" s="72"/>
      <c r="N277" s="72"/>
      <c r="O277" s="72"/>
      <c r="P277" s="72"/>
    </row>
    <row r="278" spans="1:16">
      <c r="A278" s="70"/>
      <c r="B278" s="167"/>
      <c r="C278" s="70"/>
      <c r="D278" s="71"/>
      <c r="E278" s="72"/>
      <c r="F278" s="72"/>
      <c r="G278" s="72"/>
      <c r="H278" s="29"/>
      <c r="I278" s="29"/>
      <c r="J278" s="72"/>
      <c r="K278" s="72"/>
      <c r="L278" s="72"/>
      <c r="M278" s="72"/>
      <c r="N278" s="72"/>
      <c r="O278" s="72"/>
      <c r="P278" s="72"/>
    </row>
    <row r="279" spans="1:16">
      <c r="A279" s="70"/>
      <c r="B279" s="167"/>
      <c r="C279" s="70"/>
      <c r="D279" s="71"/>
      <c r="E279" s="72"/>
      <c r="F279" s="72"/>
      <c r="G279" s="72"/>
      <c r="H279" s="29"/>
      <c r="I279" s="29"/>
      <c r="J279" s="72"/>
      <c r="K279" s="72"/>
      <c r="L279" s="72"/>
      <c r="M279" s="72"/>
      <c r="N279" s="72"/>
      <c r="O279" s="72"/>
      <c r="P279" s="72"/>
    </row>
    <row r="280" spans="1:16">
      <c r="A280" s="70"/>
      <c r="B280" s="167"/>
      <c r="C280" s="70"/>
      <c r="D280" s="71"/>
      <c r="E280" s="72"/>
      <c r="F280" s="72"/>
      <c r="G280" s="72"/>
      <c r="H280" s="29"/>
      <c r="I280" s="29"/>
      <c r="J280" s="72"/>
      <c r="K280" s="72"/>
      <c r="L280" s="72"/>
      <c r="M280" s="72"/>
      <c r="N280" s="72"/>
      <c r="O280" s="72"/>
      <c r="P280" s="72"/>
    </row>
    <row r="281" spans="1:16">
      <c r="A281" s="70"/>
      <c r="B281" s="167"/>
      <c r="C281" s="70"/>
      <c r="D281" s="71"/>
      <c r="E281" s="72"/>
      <c r="F281" s="72"/>
      <c r="G281" s="72"/>
      <c r="H281" s="29"/>
      <c r="I281" s="29"/>
      <c r="J281" s="72"/>
      <c r="K281" s="72"/>
      <c r="L281" s="72"/>
      <c r="M281" s="72"/>
      <c r="N281" s="72"/>
      <c r="O281" s="72"/>
      <c r="P281" s="72"/>
    </row>
    <row r="282" spans="1:16">
      <c r="A282" s="70"/>
      <c r="B282" s="167"/>
      <c r="C282" s="70"/>
      <c r="D282" s="71"/>
      <c r="E282" s="72"/>
      <c r="F282" s="72"/>
      <c r="G282" s="72"/>
      <c r="H282" s="29"/>
      <c r="I282" s="29"/>
      <c r="J282" s="72"/>
      <c r="K282" s="72"/>
      <c r="L282" s="72"/>
      <c r="M282" s="72"/>
      <c r="N282" s="72"/>
      <c r="O282" s="72"/>
      <c r="P282" s="72"/>
    </row>
    <row r="283" spans="1:16">
      <c r="A283" s="70"/>
      <c r="B283" s="167"/>
      <c r="C283" s="70"/>
      <c r="D283" s="71"/>
      <c r="E283" s="72"/>
      <c r="F283" s="72"/>
      <c r="G283" s="72"/>
      <c r="H283" s="29"/>
      <c r="I283" s="29"/>
      <c r="J283" s="72"/>
      <c r="K283" s="72"/>
      <c r="L283" s="72"/>
      <c r="M283" s="72"/>
      <c r="N283" s="72"/>
      <c r="O283" s="72"/>
      <c r="P283" s="72"/>
    </row>
    <row r="284" spans="1:16">
      <c r="A284" s="70"/>
      <c r="B284" s="167"/>
      <c r="C284" s="70"/>
      <c r="D284" s="71"/>
      <c r="E284" s="72"/>
      <c r="F284" s="72"/>
      <c r="G284" s="72"/>
      <c r="H284" s="29"/>
      <c r="I284" s="29"/>
      <c r="J284" s="72"/>
      <c r="K284" s="72"/>
      <c r="L284" s="72"/>
      <c r="M284" s="72"/>
      <c r="N284" s="72"/>
      <c r="O284" s="72"/>
      <c r="P284" s="72"/>
    </row>
    <row r="285" spans="1:16">
      <c r="A285" s="70"/>
      <c r="B285" s="167"/>
      <c r="C285" s="70"/>
      <c r="D285" s="71"/>
      <c r="E285" s="72"/>
      <c r="F285" s="72"/>
      <c r="G285" s="72"/>
      <c r="H285" s="29"/>
      <c r="I285" s="29"/>
      <c r="J285" s="72"/>
      <c r="K285" s="72"/>
      <c r="L285" s="72"/>
      <c r="M285" s="72"/>
      <c r="N285" s="72"/>
      <c r="O285" s="72"/>
      <c r="P285" s="72"/>
    </row>
    <row r="286" spans="1:16">
      <c r="A286" s="70"/>
      <c r="B286" s="167"/>
      <c r="C286" s="70"/>
      <c r="D286" s="71"/>
      <c r="E286" s="72"/>
      <c r="F286" s="72"/>
      <c r="G286" s="72"/>
      <c r="H286" s="29"/>
      <c r="I286" s="29"/>
      <c r="J286" s="72"/>
      <c r="K286" s="72"/>
      <c r="L286" s="72"/>
      <c r="M286" s="72"/>
      <c r="N286" s="72"/>
      <c r="O286" s="72"/>
      <c r="P286" s="72"/>
    </row>
    <row r="287" spans="1:16">
      <c r="A287" s="70"/>
      <c r="B287" s="167"/>
      <c r="C287" s="70"/>
      <c r="D287" s="71"/>
      <c r="E287" s="72"/>
      <c r="F287" s="72"/>
      <c r="G287" s="72"/>
      <c r="H287" s="29"/>
      <c r="I287" s="29"/>
      <c r="J287" s="72"/>
      <c r="K287" s="72"/>
      <c r="L287" s="72"/>
      <c r="M287" s="72"/>
      <c r="N287" s="72"/>
      <c r="O287" s="72"/>
      <c r="P287" s="72"/>
    </row>
    <row r="288" spans="1:16">
      <c r="A288" s="70"/>
      <c r="B288" s="167"/>
      <c r="C288" s="70"/>
      <c r="D288" s="71"/>
      <c r="E288" s="72"/>
      <c r="F288" s="72"/>
      <c r="G288" s="72"/>
      <c r="H288" s="29"/>
      <c r="I288" s="29"/>
      <c r="J288" s="72"/>
      <c r="K288" s="72"/>
      <c r="L288" s="72"/>
      <c r="M288" s="72"/>
      <c r="N288" s="72"/>
      <c r="O288" s="72"/>
      <c r="P288" s="72"/>
    </row>
    <row r="289" spans="1:16">
      <c r="A289" s="70"/>
      <c r="B289" s="167"/>
      <c r="C289" s="70"/>
      <c r="D289" s="71"/>
      <c r="E289" s="72"/>
      <c r="F289" s="72"/>
      <c r="G289" s="72"/>
      <c r="H289" s="29"/>
      <c r="I289" s="29"/>
      <c r="J289" s="72"/>
      <c r="K289" s="72"/>
      <c r="L289" s="72"/>
      <c r="M289" s="72"/>
      <c r="N289" s="72"/>
      <c r="O289" s="72"/>
      <c r="P289" s="72"/>
    </row>
    <row r="290" spans="1:16">
      <c r="A290" s="70"/>
      <c r="B290" s="167"/>
      <c r="C290" s="70"/>
      <c r="D290" s="71"/>
      <c r="E290" s="72"/>
      <c r="F290" s="72"/>
      <c r="G290" s="72"/>
      <c r="H290" s="29"/>
      <c r="I290" s="29"/>
      <c r="J290" s="72"/>
      <c r="K290" s="72"/>
      <c r="L290" s="72"/>
      <c r="M290" s="72"/>
      <c r="N290" s="72"/>
      <c r="O290" s="72"/>
      <c r="P290" s="72"/>
    </row>
    <row r="291" spans="1:16">
      <c r="A291" s="70"/>
      <c r="B291" s="167"/>
      <c r="C291" s="70"/>
      <c r="D291" s="71"/>
      <c r="E291" s="72"/>
      <c r="F291" s="72"/>
      <c r="G291" s="72"/>
      <c r="H291" s="29"/>
      <c r="I291" s="29"/>
      <c r="J291" s="72"/>
      <c r="K291" s="72"/>
      <c r="L291" s="72"/>
      <c r="M291" s="72"/>
      <c r="N291" s="72"/>
      <c r="O291" s="72"/>
      <c r="P291" s="72"/>
    </row>
    <row r="292" spans="1:16">
      <c r="A292" s="70"/>
      <c r="B292" s="167"/>
      <c r="C292" s="70"/>
      <c r="D292" s="71"/>
      <c r="E292" s="72"/>
      <c r="F292" s="72"/>
      <c r="G292" s="72"/>
      <c r="H292" s="29"/>
      <c r="I292" s="29"/>
      <c r="J292" s="72"/>
      <c r="K292" s="72"/>
      <c r="L292" s="72"/>
      <c r="M292" s="72"/>
      <c r="N292" s="72"/>
      <c r="O292" s="72"/>
      <c r="P292" s="72"/>
    </row>
    <row r="293" spans="1:16">
      <c r="A293" s="70"/>
      <c r="B293" s="167"/>
      <c r="C293" s="70"/>
      <c r="D293" s="71"/>
      <c r="E293" s="72"/>
      <c r="F293" s="72"/>
      <c r="G293" s="72"/>
      <c r="H293" s="29"/>
      <c r="I293" s="29"/>
      <c r="J293" s="72"/>
      <c r="K293" s="72"/>
      <c r="L293" s="72"/>
      <c r="M293" s="72"/>
      <c r="N293" s="72"/>
      <c r="O293" s="72"/>
      <c r="P293" s="72"/>
    </row>
    <row r="294" spans="1:16">
      <c r="A294" s="70"/>
      <c r="B294" s="167"/>
      <c r="C294" s="70"/>
      <c r="D294" s="71"/>
      <c r="E294" s="72"/>
      <c r="F294" s="72"/>
      <c r="G294" s="72"/>
      <c r="H294" s="29"/>
      <c r="I294" s="29"/>
      <c r="J294" s="72"/>
      <c r="K294" s="72"/>
      <c r="L294" s="72"/>
      <c r="M294" s="72"/>
      <c r="N294" s="72"/>
      <c r="O294" s="72"/>
      <c r="P294" s="72"/>
    </row>
    <row r="295" spans="1:16">
      <c r="A295" s="70"/>
      <c r="B295" s="167"/>
      <c r="C295" s="70"/>
      <c r="D295" s="71"/>
      <c r="E295" s="72"/>
      <c r="F295" s="72"/>
      <c r="G295" s="72"/>
      <c r="H295" s="29"/>
      <c r="I295" s="29"/>
      <c r="J295" s="72"/>
      <c r="K295" s="72"/>
      <c r="L295" s="72"/>
      <c r="M295" s="72"/>
      <c r="N295" s="72"/>
      <c r="O295" s="72"/>
      <c r="P295" s="72"/>
    </row>
    <row r="296" spans="1:16">
      <c r="A296" s="70"/>
      <c r="B296" s="167"/>
      <c r="C296" s="70"/>
      <c r="D296" s="71"/>
      <c r="E296" s="72"/>
      <c r="F296" s="72"/>
      <c r="G296" s="72"/>
      <c r="H296" s="29"/>
      <c r="I296" s="29"/>
      <c r="J296" s="72"/>
      <c r="K296" s="72"/>
      <c r="L296" s="72"/>
      <c r="M296" s="72"/>
      <c r="N296" s="72"/>
      <c r="O296" s="72"/>
      <c r="P296" s="72"/>
    </row>
    <row r="297" spans="1:16">
      <c r="A297" s="70"/>
      <c r="B297" s="167"/>
      <c r="C297" s="70"/>
      <c r="D297" s="71"/>
      <c r="E297" s="72"/>
      <c r="F297" s="72"/>
      <c r="G297" s="72"/>
      <c r="H297" s="29"/>
      <c r="I297" s="29"/>
      <c r="J297" s="72"/>
      <c r="K297" s="72"/>
      <c r="L297" s="72"/>
      <c r="M297" s="72"/>
      <c r="N297" s="72"/>
      <c r="O297" s="72"/>
      <c r="P297" s="72"/>
    </row>
    <row r="298" spans="1:16">
      <c r="A298" s="70"/>
      <c r="B298" s="167"/>
      <c r="C298" s="70"/>
      <c r="D298" s="71"/>
      <c r="E298" s="72"/>
      <c r="F298" s="72"/>
      <c r="G298" s="72"/>
      <c r="H298" s="29"/>
      <c r="I298" s="29"/>
      <c r="J298" s="72"/>
      <c r="K298" s="72"/>
      <c r="L298" s="72"/>
      <c r="M298" s="72"/>
      <c r="N298" s="72"/>
      <c r="O298" s="72"/>
      <c r="P298" s="72"/>
    </row>
    <row r="299" spans="1:16">
      <c r="A299" s="70"/>
      <c r="B299" s="167"/>
      <c r="C299" s="70"/>
      <c r="D299" s="71"/>
      <c r="E299" s="72"/>
      <c r="F299" s="72"/>
      <c r="G299" s="72"/>
      <c r="H299" s="29"/>
      <c r="I299" s="29"/>
      <c r="J299" s="72"/>
      <c r="K299" s="72"/>
      <c r="L299" s="72"/>
      <c r="M299" s="72"/>
      <c r="N299" s="72"/>
      <c r="O299" s="72"/>
      <c r="P299" s="72"/>
    </row>
    <row r="300" spans="1:16">
      <c r="A300" s="70"/>
      <c r="B300" s="167"/>
      <c r="C300" s="70"/>
      <c r="D300" s="71"/>
      <c r="E300" s="72"/>
      <c r="F300" s="72"/>
      <c r="G300" s="72"/>
      <c r="H300" s="29"/>
      <c r="I300" s="29"/>
      <c r="J300" s="72"/>
      <c r="K300" s="72"/>
      <c r="L300" s="72"/>
      <c r="M300" s="72"/>
      <c r="N300" s="72"/>
      <c r="O300" s="72"/>
      <c r="P300" s="72"/>
    </row>
    <row r="301" spans="1:16">
      <c r="A301" s="70"/>
      <c r="B301" s="167"/>
      <c r="C301" s="70"/>
      <c r="D301" s="71"/>
      <c r="E301" s="72"/>
      <c r="F301" s="72"/>
      <c r="G301" s="72"/>
      <c r="H301" s="29"/>
      <c r="I301" s="29"/>
      <c r="J301" s="72"/>
      <c r="K301" s="72"/>
      <c r="L301" s="72"/>
      <c r="M301" s="72"/>
      <c r="N301" s="72"/>
      <c r="O301" s="72"/>
      <c r="P301" s="72"/>
    </row>
    <row r="302" spans="1:16">
      <c r="A302" s="70"/>
      <c r="B302" s="167"/>
      <c r="C302" s="70"/>
      <c r="D302" s="71"/>
      <c r="E302" s="72"/>
      <c r="F302" s="72"/>
      <c r="G302" s="72"/>
      <c r="H302" s="29"/>
      <c r="I302" s="29"/>
      <c r="J302" s="72"/>
      <c r="K302" s="72"/>
      <c r="L302" s="72"/>
      <c r="M302" s="72"/>
      <c r="N302" s="72"/>
      <c r="O302" s="72"/>
      <c r="P302" s="72"/>
    </row>
    <row r="303" spans="1:16">
      <c r="A303" s="70"/>
      <c r="B303" s="167"/>
      <c r="C303" s="70"/>
      <c r="D303" s="71"/>
      <c r="E303" s="72"/>
      <c r="F303" s="72"/>
      <c r="G303" s="72"/>
      <c r="H303" s="29"/>
      <c r="I303" s="29"/>
      <c r="J303" s="72"/>
      <c r="K303" s="72"/>
      <c r="L303" s="72"/>
      <c r="M303" s="72"/>
      <c r="N303" s="72"/>
      <c r="O303" s="72"/>
      <c r="P303" s="72"/>
    </row>
    <row r="304" spans="1:16">
      <c r="A304" s="70"/>
      <c r="B304" s="167"/>
      <c r="C304" s="70"/>
      <c r="D304" s="71"/>
      <c r="E304" s="72"/>
      <c r="F304" s="72"/>
      <c r="G304" s="72"/>
      <c r="H304" s="29"/>
      <c r="I304" s="29"/>
      <c r="J304" s="72"/>
      <c r="K304" s="72"/>
      <c r="L304" s="72"/>
      <c r="M304" s="72"/>
      <c r="N304" s="72"/>
      <c r="O304" s="72"/>
      <c r="P304" s="72"/>
    </row>
    <row r="305" spans="1:16">
      <c r="A305" s="70"/>
      <c r="B305" s="167"/>
      <c r="C305" s="70"/>
      <c r="D305" s="71"/>
      <c r="E305" s="72"/>
      <c r="F305" s="72"/>
      <c r="G305" s="72"/>
      <c r="H305" s="29"/>
      <c r="I305" s="29"/>
      <c r="J305" s="72"/>
      <c r="K305" s="72"/>
      <c r="L305" s="72"/>
      <c r="M305" s="72"/>
      <c r="N305" s="72"/>
      <c r="O305" s="72"/>
      <c r="P305" s="72"/>
    </row>
    <row r="306" spans="1:16">
      <c r="A306" s="70"/>
      <c r="B306" s="167"/>
      <c r="C306" s="70"/>
      <c r="D306" s="71"/>
      <c r="E306" s="72"/>
      <c r="F306" s="72"/>
      <c r="G306" s="72"/>
      <c r="H306" s="29"/>
      <c r="I306" s="29"/>
      <c r="J306" s="72"/>
      <c r="K306" s="72"/>
      <c r="L306" s="72"/>
      <c r="M306" s="72"/>
      <c r="N306" s="72"/>
      <c r="O306" s="72"/>
      <c r="P306" s="72"/>
    </row>
    <row r="307" spans="1:16">
      <c r="A307" s="70"/>
      <c r="B307" s="167"/>
      <c r="C307" s="70"/>
      <c r="D307" s="71"/>
      <c r="E307" s="72"/>
      <c r="F307" s="72"/>
      <c r="G307" s="72"/>
      <c r="H307" s="29"/>
      <c r="I307" s="29"/>
      <c r="J307" s="72"/>
      <c r="K307" s="72"/>
      <c r="L307" s="72"/>
      <c r="M307" s="72"/>
      <c r="N307" s="72"/>
      <c r="O307" s="72"/>
      <c r="P307" s="72"/>
    </row>
    <row r="308" spans="1:16">
      <c r="A308" s="70"/>
      <c r="B308" s="167"/>
      <c r="C308" s="70"/>
      <c r="D308" s="71"/>
      <c r="E308" s="72"/>
      <c r="F308" s="72"/>
      <c r="G308" s="72"/>
      <c r="H308" s="29"/>
      <c r="I308" s="29"/>
      <c r="J308" s="72"/>
      <c r="K308" s="72"/>
      <c r="L308" s="72"/>
      <c r="M308" s="72"/>
      <c r="N308" s="72"/>
      <c r="O308" s="72"/>
      <c r="P308" s="72"/>
    </row>
    <row r="309" spans="1:16">
      <c r="A309" s="70"/>
      <c r="B309" s="167"/>
      <c r="C309" s="70"/>
      <c r="D309" s="71"/>
      <c r="E309" s="72"/>
      <c r="F309" s="72"/>
      <c r="G309" s="72"/>
      <c r="H309" s="29"/>
      <c r="I309" s="29"/>
      <c r="J309" s="72"/>
      <c r="K309" s="72"/>
      <c r="L309" s="72"/>
      <c r="M309" s="72"/>
      <c r="N309" s="72"/>
      <c r="O309" s="72"/>
      <c r="P309" s="72"/>
    </row>
    <row r="310" spans="1:16">
      <c r="A310" s="70"/>
      <c r="B310" s="167"/>
      <c r="C310" s="70"/>
      <c r="D310" s="71"/>
      <c r="E310" s="72"/>
      <c r="F310" s="72"/>
      <c r="G310" s="72"/>
      <c r="H310" s="29"/>
      <c r="I310" s="29"/>
      <c r="J310" s="72"/>
      <c r="K310" s="72"/>
      <c r="L310" s="72"/>
      <c r="M310" s="72"/>
      <c r="N310" s="72"/>
      <c r="O310" s="72"/>
      <c r="P310" s="72"/>
    </row>
    <row r="311" spans="1:16">
      <c r="A311" s="70"/>
      <c r="B311" s="167"/>
      <c r="C311" s="70"/>
      <c r="D311" s="71"/>
      <c r="E311" s="72"/>
      <c r="F311" s="72"/>
      <c r="G311" s="72"/>
      <c r="H311" s="29"/>
      <c r="I311" s="29"/>
      <c r="J311" s="72"/>
      <c r="K311" s="72"/>
      <c r="L311" s="72"/>
      <c r="M311" s="72"/>
      <c r="N311" s="72"/>
      <c r="O311" s="72"/>
      <c r="P311" s="72"/>
    </row>
    <row r="312" spans="1:16">
      <c r="A312" s="70"/>
      <c r="B312" s="167"/>
      <c r="C312" s="70"/>
      <c r="D312" s="71"/>
      <c r="E312" s="72"/>
      <c r="F312" s="72"/>
      <c r="G312" s="72"/>
      <c r="H312" s="29"/>
      <c r="I312" s="29"/>
      <c r="J312" s="72"/>
      <c r="K312" s="72"/>
      <c r="L312" s="72"/>
      <c r="M312" s="72"/>
      <c r="N312" s="72"/>
      <c r="O312" s="72"/>
      <c r="P312" s="72"/>
    </row>
    <row r="313" spans="1:16">
      <c r="A313" s="70"/>
      <c r="B313" s="167"/>
      <c r="C313" s="70"/>
      <c r="D313" s="71"/>
      <c r="E313" s="72"/>
      <c r="F313" s="72"/>
      <c r="G313" s="72"/>
      <c r="H313" s="29"/>
      <c r="I313" s="29"/>
      <c r="J313" s="72"/>
      <c r="K313" s="72"/>
      <c r="L313" s="72"/>
      <c r="M313" s="72"/>
      <c r="N313" s="72"/>
      <c r="O313" s="72"/>
      <c r="P313" s="72"/>
    </row>
    <row r="314" spans="1:16">
      <c r="A314" s="70"/>
      <c r="B314" s="167"/>
      <c r="C314" s="70"/>
      <c r="D314" s="71"/>
      <c r="E314" s="72"/>
      <c r="F314" s="72"/>
      <c r="G314" s="72"/>
      <c r="H314" s="29"/>
      <c r="I314" s="29"/>
      <c r="J314" s="72"/>
      <c r="K314" s="72"/>
      <c r="L314" s="72"/>
      <c r="M314" s="72"/>
      <c r="N314" s="72"/>
      <c r="O314" s="72"/>
      <c r="P314" s="72"/>
    </row>
    <row r="315" spans="1:16">
      <c r="A315" s="70"/>
      <c r="B315" s="167"/>
      <c r="C315" s="70"/>
      <c r="D315" s="71"/>
      <c r="E315" s="72"/>
      <c r="F315" s="72"/>
      <c r="G315" s="72"/>
      <c r="H315" s="29"/>
      <c r="I315" s="29"/>
      <c r="J315" s="72"/>
      <c r="K315" s="72"/>
      <c r="L315" s="72"/>
      <c r="M315" s="72"/>
      <c r="N315" s="72"/>
      <c r="O315" s="72"/>
      <c r="P315" s="72"/>
    </row>
    <row r="316" spans="1:16">
      <c r="A316" s="70"/>
      <c r="B316" s="167"/>
      <c r="C316" s="70"/>
      <c r="D316" s="71"/>
      <c r="E316" s="72"/>
      <c r="F316" s="72"/>
      <c r="G316" s="72"/>
      <c r="H316" s="29"/>
      <c r="I316" s="29"/>
      <c r="J316" s="72"/>
      <c r="K316" s="72"/>
      <c r="L316" s="72"/>
      <c r="M316" s="72"/>
      <c r="N316" s="72"/>
      <c r="O316" s="72"/>
      <c r="P316" s="72"/>
    </row>
    <row r="317" spans="1:16">
      <c r="A317" s="70"/>
      <c r="B317" s="167"/>
      <c r="C317" s="70"/>
      <c r="D317" s="71"/>
      <c r="E317" s="72"/>
      <c r="F317" s="72"/>
      <c r="G317" s="72"/>
      <c r="H317" s="29"/>
      <c r="I317" s="29"/>
      <c r="J317" s="72"/>
      <c r="K317" s="72"/>
      <c r="L317" s="72"/>
      <c r="M317" s="72"/>
      <c r="N317" s="72"/>
      <c r="O317" s="72"/>
      <c r="P317" s="72"/>
    </row>
    <row r="318" spans="1:16">
      <c r="A318" s="70"/>
      <c r="B318" s="167"/>
      <c r="C318" s="70"/>
      <c r="D318" s="71"/>
      <c r="E318" s="72"/>
      <c r="F318" s="72"/>
      <c r="G318" s="72"/>
      <c r="H318" s="29"/>
      <c r="I318" s="29"/>
      <c r="J318" s="72"/>
      <c r="K318" s="72"/>
      <c r="L318" s="72"/>
      <c r="M318" s="72"/>
      <c r="N318" s="72"/>
      <c r="O318" s="72"/>
      <c r="P318" s="72"/>
    </row>
    <row r="319" spans="1:16">
      <c r="A319" s="70"/>
      <c r="B319" s="167"/>
      <c r="C319" s="70"/>
      <c r="D319" s="71"/>
      <c r="E319" s="72"/>
      <c r="F319" s="72"/>
      <c r="G319" s="72"/>
      <c r="H319" s="29"/>
      <c r="I319" s="29"/>
      <c r="J319" s="72"/>
      <c r="K319" s="72"/>
      <c r="L319" s="72"/>
      <c r="M319" s="72"/>
      <c r="N319" s="72"/>
      <c r="O319" s="72"/>
      <c r="P319" s="72"/>
    </row>
    <row r="320" spans="1:16">
      <c r="A320" s="70"/>
      <c r="B320" s="167"/>
      <c r="C320" s="70"/>
      <c r="D320" s="71"/>
      <c r="E320" s="72"/>
      <c r="F320" s="72"/>
      <c r="G320" s="72"/>
      <c r="H320" s="29"/>
      <c r="I320" s="29"/>
      <c r="J320" s="72"/>
      <c r="K320" s="72"/>
      <c r="L320" s="72"/>
      <c r="M320" s="72"/>
      <c r="N320" s="72"/>
      <c r="O320" s="72"/>
      <c r="P320" s="72"/>
    </row>
    <row r="321" spans="1:16">
      <c r="A321" s="70"/>
      <c r="B321" s="167"/>
      <c r="C321" s="70"/>
      <c r="D321" s="71"/>
      <c r="E321" s="72"/>
      <c r="F321" s="72"/>
      <c r="G321" s="72"/>
      <c r="H321" s="29"/>
      <c r="I321" s="29"/>
      <c r="J321" s="72"/>
      <c r="K321" s="72"/>
      <c r="L321" s="72"/>
      <c r="M321" s="72"/>
      <c r="N321" s="72"/>
      <c r="O321" s="72"/>
      <c r="P321" s="72"/>
    </row>
    <row r="322" spans="1:16">
      <c r="A322" s="70"/>
      <c r="B322" s="167"/>
      <c r="C322" s="70"/>
      <c r="D322" s="71"/>
      <c r="E322" s="72"/>
      <c r="F322" s="72"/>
      <c r="G322" s="72"/>
      <c r="H322" s="29"/>
      <c r="I322" s="29"/>
      <c r="J322" s="72"/>
      <c r="K322" s="72"/>
      <c r="L322" s="72"/>
      <c r="M322" s="72"/>
      <c r="N322" s="72"/>
      <c r="O322" s="72"/>
      <c r="P322" s="72"/>
    </row>
    <row r="323" spans="1:16">
      <c r="A323" s="70"/>
      <c r="B323" s="167"/>
      <c r="C323" s="70"/>
      <c r="D323" s="71"/>
      <c r="E323" s="72"/>
      <c r="F323" s="72"/>
      <c r="G323" s="72"/>
      <c r="H323" s="29"/>
      <c r="I323" s="29"/>
      <c r="J323" s="72"/>
      <c r="K323" s="72"/>
      <c r="L323" s="72"/>
      <c r="M323" s="72"/>
      <c r="N323" s="72"/>
      <c r="O323" s="72"/>
      <c r="P323" s="72"/>
    </row>
    <row r="324" spans="1:16">
      <c r="A324" s="70"/>
      <c r="B324" s="167"/>
      <c r="C324" s="70"/>
      <c r="D324" s="71"/>
      <c r="E324" s="72"/>
      <c r="F324" s="72"/>
      <c r="G324" s="72"/>
      <c r="H324" s="29"/>
      <c r="I324" s="29"/>
      <c r="J324" s="72"/>
      <c r="K324" s="72"/>
      <c r="L324" s="72"/>
      <c r="M324" s="72"/>
      <c r="N324" s="72"/>
      <c r="O324" s="72"/>
      <c r="P324" s="72"/>
    </row>
    <row r="325" spans="1:16">
      <c r="A325" s="70"/>
      <c r="B325" s="167"/>
      <c r="C325" s="70"/>
      <c r="D325" s="71"/>
      <c r="E325" s="72"/>
      <c r="F325" s="72"/>
      <c r="G325" s="72"/>
      <c r="H325" s="29"/>
      <c r="I325" s="29"/>
      <c r="J325" s="72"/>
      <c r="K325" s="72"/>
      <c r="L325" s="72"/>
      <c r="M325" s="72"/>
      <c r="N325" s="72"/>
      <c r="O325" s="72"/>
      <c r="P325" s="72"/>
    </row>
    <row r="326" spans="1:16">
      <c r="A326" s="70"/>
      <c r="B326" s="167"/>
      <c r="C326" s="70"/>
      <c r="D326" s="71"/>
      <c r="E326" s="72"/>
      <c r="F326" s="72"/>
      <c r="G326" s="72"/>
      <c r="H326" s="29"/>
      <c r="I326" s="29"/>
      <c r="J326" s="72"/>
      <c r="K326" s="72"/>
      <c r="L326" s="72"/>
      <c r="M326" s="72"/>
      <c r="N326" s="72"/>
      <c r="O326" s="72"/>
      <c r="P326" s="72"/>
    </row>
    <row r="327" spans="1:16">
      <c r="A327" s="70"/>
      <c r="B327" s="167"/>
      <c r="C327" s="70"/>
      <c r="D327" s="71"/>
      <c r="E327" s="72"/>
      <c r="F327" s="72"/>
      <c r="G327" s="72"/>
      <c r="H327" s="29"/>
      <c r="I327" s="29"/>
      <c r="J327" s="72"/>
      <c r="K327" s="72"/>
      <c r="L327" s="72"/>
      <c r="M327" s="72"/>
      <c r="N327" s="72"/>
      <c r="O327" s="72"/>
      <c r="P327" s="72"/>
    </row>
    <row r="328" spans="1:16">
      <c r="A328" s="70"/>
      <c r="B328" s="167"/>
      <c r="C328" s="70"/>
      <c r="D328" s="71"/>
      <c r="E328" s="72"/>
      <c r="F328" s="72"/>
      <c r="G328" s="72"/>
      <c r="H328" s="29"/>
      <c r="I328" s="29"/>
      <c r="J328" s="72"/>
      <c r="K328" s="72"/>
      <c r="L328" s="72"/>
      <c r="M328" s="72"/>
      <c r="N328" s="72"/>
      <c r="O328" s="72"/>
      <c r="P328" s="72"/>
    </row>
    <row r="329" spans="1:16">
      <c r="A329" s="70"/>
      <c r="B329" s="167"/>
      <c r="C329" s="70"/>
      <c r="D329" s="71"/>
      <c r="E329" s="72"/>
      <c r="F329" s="72"/>
      <c r="G329" s="72"/>
      <c r="H329" s="29"/>
      <c r="I329" s="29"/>
      <c r="J329" s="72"/>
      <c r="K329" s="72"/>
      <c r="L329" s="72"/>
      <c r="M329" s="72"/>
      <c r="N329" s="72"/>
      <c r="O329" s="72"/>
      <c r="P329" s="72"/>
    </row>
    <row r="330" spans="1:16">
      <c r="A330" s="70"/>
      <c r="B330" s="167"/>
      <c r="C330" s="70"/>
      <c r="D330" s="71"/>
      <c r="E330" s="72"/>
      <c r="F330" s="72"/>
      <c r="G330" s="72"/>
      <c r="H330" s="29"/>
      <c r="I330" s="29"/>
      <c r="J330" s="72"/>
      <c r="K330" s="72"/>
      <c r="L330" s="72"/>
      <c r="M330" s="72"/>
      <c r="N330" s="72"/>
      <c r="O330" s="72"/>
      <c r="P330" s="72"/>
    </row>
    <row r="331" spans="1:16">
      <c r="A331" s="70"/>
      <c r="B331" s="167"/>
      <c r="C331" s="70"/>
      <c r="D331" s="71"/>
      <c r="E331" s="72"/>
      <c r="F331" s="72"/>
      <c r="G331" s="72"/>
      <c r="H331" s="29"/>
      <c r="I331" s="29"/>
      <c r="J331" s="72"/>
      <c r="K331" s="72"/>
      <c r="L331" s="72"/>
      <c r="M331" s="72"/>
      <c r="N331" s="72"/>
      <c r="O331" s="72"/>
      <c r="P331" s="72"/>
    </row>
    <row r="332" spans="1:16">
      <c r="A332" s="70"/>
      <c r="B332" s="167"/>
      <c r="C332" s="70"/>
      <c r="D332" s="71"/>
      <c r="E332" s="72"/>
      <c r="F332" s="72"/>
      <c r="G332" s="72"/>
      <c r="H332" s="29"/>
      <c r="I332" s="29"/>
      <c r="J332" s="72"/>
      <c r="K332" s="72"/>
      <c r="L332" s="72"/>
      <c r="M332" s="72"/>
      <c r="N332" s="72"/>
      <c r="O332" s="72"/>
      <c r="P332" s="72"/>
    </row>
    <row r="333" spans="1:16">
      <c r="A333" s="70"/>
      <c r="B333" s="167"/>
      <c r="C333" s="70"/>
      <c r="D333" s="71"/>
      <c r="E333" s="72"/>
      <c r="F333" s="72"/>
      <c r="G333" s="72"/>
      <c r="H333" s="29"/>
      <c r="I333" s="29"/>
      <c r="J333" s="72"/>
      <c r="K333" s="72"/>
      <c r="L333" s="72"/>
      <c r="M333" s="72"/>
      <c r="N333" s="72"/>
      <c r="O333" s="72"/>
      <c r="P333" s="72"/>
    </row>
    <row r="334" spans="1:16">
      <c r="A334" s="70"/>
      <c r="B334" s="167"/>
      <c r="C334" s="70"/>
      <c r="D334" s="71"/>
      <c r="E334" s="72"/>
      <c r="F334" s="72"/>
      <c r="G334" s="72"/>
      <c r="H334" s="29"/>
      <c r="I334" s="29"/>
      <c r="J334" s="72"/>
      <c r="K334" s="72"/>
      <c r="L334" s="72"/>
      <c r="M334" s="72"/>
      <c r="N334" s="72"/>
      <c r="O334" s="72"/>
      <c r="P334" s="72"/>
    </row>
    <row r="335" spans="1:16">
      <c r="A335" s="70"/>
      <c r="B335" s="167"/>
      <c r="C335" s="70"/>
      <c r="D335" s="71"/>
      <c r="E335" s="72"/>
      <c r="F335" s="72"/>
      <c r="G335" s="72"/>
      <c r="H335" s="29"/>
      <c r="I335" s="29"/>
      <c r="J335" s="72"/>
      <c r="K335" s="72"/>
      <c r="L335" s="72"/>
      <c r="M335" s="72"/>
      <c r="N335" s="72"/>
      <c r="O335" s="72"/>
      <c r="P335" s="72"/>
    </row>
    <row r="336" spans="1:16">
      <c r="A336" s="70"/>
      <c r="B336" s="167"/>
      <c r="C336" s="70"/>
      <c r="D336" s="71"/>
      <c r="E336" s="72"/>
      <c r="F336" s="72"/>
      <c r="G336" s="72"/>
      <c r="H336" s="29"/>
      <c r="I336" s="29"/>
      <c r="J336" s="72"/>
      <c r="K336" s="72"/>
      <c r="L336" s="72"/>
      <c r="M336" s="72"/>
      <c r="N336" s="72"/>
      <c r="O336" s="72"/>
      <c r="P336" s="72"/>
    </row>
    <row r="337" spans="1:16">
      <c r="A337" s="70"/>
      <c r="B337" s="167"/>
      <c r="C337" s="70"/>
      <c r="D337" s="71"/>
      <c r="E337" s="72"/>
      <c r="F337" s="72"/>
      <c r="G337" s="72"/>
      <c r="H337" s="29"/>
      <c r="I337" s="29"/>
      <c r="J337" s="72"/>
      <c r="K337" s="72"/>
      <c r="L337" s="72"/>
      <c r="M337" s="72"/>
      <c r="N337" s="72"/>
      <c r="O337" s="72"/>
      <c r="P337" s="72"/>
    </row>
    <row r="338" spans="1:16">
      <c r="A338" s="70"/>
      <c r="B338" s="167"/>
      <c r="C338" s="70"/>
      <c r="D338" s="71"/>
      <c r="E338" s="72"/>
      <c r="F338" s="72"/>
      <c r="G338" s="72"/>
      <c r="H338" s="29"/>
      <c r="I338" s="29"/>
      <c r="J338" s="72"/>
      <c r="K338" s="72"/>
      <c r="L338" s="72"/>
      <c r="M338" s="72"/>
      <c r="N338" s="72"/>
      <c r="O338" s="72"/>
      <c r="P338" s="72"/>
    </row>
    <row r="339" spans="1:16">
      <c r="A339" s="70"/>
      <c r="B339" s="167"/>
      <c r="C339" s="70"/>
      <c r="D339" s="71"/>
      <c r="E339" s="72"/>
      <c r="F339" s="72"/>
      <c r="G339" s="72"/>
      <c r="H339" s="29"/>
      <c r="I339" s="29"/>
      <c r="J339" s="72"/>
      <c r="K339" s="72"/>
      <c r="L339" s="72"/>
      <c r="M339" s="72"/>
      <c r="N339" s="72"/>
      <c r="O339" s="72"/>
      <c r="P339" s="72"/>
    </row>
    <row r="340" spans="1:16">
      <c r="A340" s="70"/>
      <c r="B340" s="167"/>
      <c r="C340" s="70"/>
      <c r="D340" s="71"/>
      <c r="E340" s="72"/>
      <c r="F340" s="72"/>
      <c r="G340" s="72"/>
      <c r="H340" s="29"/>
      <c r="I340" s="29"/>
      <c r="J340" s="72"/>
      <c r="K340" s="72"/>
      <c r="L340" s="72"/>
      <c r="M340" s="72"/>
      <c r="N340" s="72"/>
      <c r="O340" s="72"/>
      <c r="P340" s="72"/>
    </row>
    <row r="341" spans="1:16">
      <c r="A341" s="70"/>
      <c r="B341" s="167"/>
      <c r="C341" s="70"/>
      <c r="D341" s="71"/>
      <c r="E341" s="72"/>
      <c r="F341" s="72"/>
      <c r="G341" s="72"/>
      <c r="H341" s="29"/>
      <c r="I341" s="29"/>
      <c r="J341" s="72"/>
      <c r="K341" s="72"/>
      <c r="L341" s="72"/>
      <c r="M341" s="72"/>
      <c r="N341" s="72"/>
      <c r="O341" s="72"/>
      <c r="P341" s="72"/>
    </row>
    <row r="342" spans="1:16">
      <c r="A342" s="70"/>
      <c r="B342" s="167"/>
      <c r="C342" s="70"/>
      <c r="D342" s="71"/>
      <c r="E342" s="72"/>
      <c r="F342" s="72"/>
      <c r="G342" s="72"/>
      <c r="H342" s="29"/>
      <c r="I342" s="29"/>
      <c r="J342" s="72"/>
      <c r="K342" s="72"/>
      <c r="L342" s="72"/>
      <c r="M342" s="72"/>
      <c r="N342" s="72"/>
      <c r="O342" s="72"/>
      <c r="P342" s="72"/>
    </row>
    <row r="343" spans="1:16">
      <c r="A343" s="70"/>
      <c r="B343" s="167"/>
      <c r="C343" s="70"/>
      <c r="D343" s="71"/>
      <c r="E343" s="72"/>
      <c r="F343" s="72"/>
      <c r="G343" s="72"/>
      <c r="H343" s="29"/>
      <c r="I343" s="29"/>
      <c r="J343" s="72"/>
      <c r="K343" s="72"/>
      <c r="L343" s="72"/>
      <c r="M343" s="72"/>
      <c r="N343" s="72"/>
      <c r="O343" s="72"/>
      <c r="P343" s="72"/>
    </row>
    <row r="344" spans="1:16">
      <c r="A344" s="70"/>
      <c r="B344" s="167"/>
      <c r="C344" s="70"/>
      <c r="D344" s="71"/>
      <c r="E344" s="72"/>
      <c r="F344" s="72"/>
      <c r="G344" s="72"/>
      <c r="H344" s="29"/>
      <c r="I344" s="29"/>
      <c r="J344" s="72"/>
      <c r="K344" s="72"/>
      <c r="L344" s="72"/>
      <c r="M344" s="72"/>
      <c r="N344" s="72"/>
      <c r="O344" s="72"/>
      <c r="P344" s="72"/>
    </row>
    <row r="345" spans="1:16">
      <c r="A345" s="70"/>
      <c r="B345" s="167"/>
      <c r="C345" s="70"/>
      <c r="D345" s="71"/>
      <c r="E345" s="72"/>
      <c r="F345" s="72"/>
      <c r="G345" s="72"/>
      <c r="H345" s="29"/>
      <c r="I345" s="29"/>
      <c r="J345" s="72"/>
      <c r="K345" s="72"/>
      <c r="L345" s="72"/>
      <c r="M345" s="72"/>
      <c r="N345" s="72"/>
      <c r="O345" s="72"/>
      <c r="P345" s="72"/>
    </row>
    <row r="346" spans="1:16">
      <c r="A346" s="70"/>
      <c r="B346" s="167"/>
      <c r="C346" s="70"/>
      <c r="D346" s="71"/>
      <c r="E346" s="72"/>
      <c r="F346" s="72"/>
      <c r="G346" s="72"/>
      <c r="H346" s="29"/>
      <c r="I346" s="29"/>
      <c r="J346" s="72"/>
      <c r="K346" s="72"/>
      <c r="L346" s="72"/>
      <c r="M346" s="72"/>
      <c r="N346" s="72"/>
      <c r="O346" s="72"/>
      <c r="P346" s="72"/>
    </row>
    <row r="347" spans="1:16">
      <c r="A347" s="70"/>
      <c r="B347" s="167"/>
      <c r="C347" s="70"/>
      <c r="D347" s="71"/>
      <c r="E347" s="72"/>
      <c r="F347" s="72"/>
      <c r="G347" s="72"/>
      <c r="H347" s="29"/>
      <c r="I347" s="29"/>
      <c r="J347" s="72"/>
      <c r="K347" s="72"/>
      <c r="L347" s="72"/>
      <c r="M347" s="72"/>
      <c r="N347" s="72"/>
      <c r="O347" s="72"/>
      <c r="P347" s="72"/>
    </row>
    <row r="348" spans="1:16">
      <c r="A348" s="70"/>
      <c r="B348" s="167"/>
      <c r="C348" s="70"/>
      <c r="D348" s="71"/>
      <c r="E348" s="72"/>
      <c r="F348" s="72"/>
      <c r="G348" s="72"/>
      <c r="H348" s="29"/>
      <c r="I348" s="29"/>
      <c r="J348" s="72"/>
      <c r="K348" s="72"/>
      <c r="L348" s="72"/>
      <c r="M348" s="72"/>
      <c r="N348" s="72"/>
      <c r="O348" s="72"/>
      <c r="P348" s="72"/>
    </row>
    <row r="349" spans="1:16">
      <c r="A349" s="70"/>
      <c r="B349" s="167"/>
      <c r="C349" s="70"/>
      <c r="D349" s="71"/>
      <c r="E349" s="72"/>
      <c r="F349" s="72"/>
      <c r="G349" s="72"/>
      <c r="H349" s="29"/>
      <c r="I349" s="29"/>
      <c r="J349" s="72"/>
      <c r="K349" s="72"/>
      <c r="L349" s="72"/>
      <c r="M349" s="72"/>
      <c r="N349" s="72"/>
      <c r="O349" s="72"/>
      <c r="P349" s="72"/>
    </row>
    <row r="350" spans="1:16">
      <c r="A350" s="70"/>
      <c r="B350" s="167"/>
      <c r="C350" s="70"/>
      <c r="D350" s="71"/>
      <c r="E350" s="72"/>
      <c r="F350" s="72"/>
      <c r="G350" s="72"/>
      <c r="H350" s="29"/>
      <c r="I350" s="29"/>
      <c r="J350" s="72"/>
      <c r="K350" s="72"/>
      <c r="L350" s="72"/>
      <c r="M350" s="72"/>
      <c r="N350" s="72"/>
      <c r="O350" s="72"/>
      <c r="P350" s="72"/>
    </row>
    <row r="351" spans="1:16">
      <c r="A351" s="70"/>
      <c r="B351" s="167"/>
      <c r="C351" s="70"/>
      <c r="D351" s="71"/>
      <c r="E351" s="72"/>
      <c r="F351" s="72"/>
      <c r="G351" s="72"/>
      <c r="H351" s="29"/>
      <c r="I351" s="29"/>
      <c r="J351" s="72"/>
      <c r="K351" s="72"/>
      <c r="L351" s="72"/>
      <c r="M351" s="72"/>
      <c r="N351" s="72"/>
      <c r="O351" s="72"/>
      <c r="P351" s="72"/>
    </row>
    <row r="352" spans="1:16">
      <c r="A352" s="70"/>
      <c r="B352" s="167"/>
      <c r="C352" s="70"/>
      <c r="D352" s="71"/>
      <c r="E352" s="72"/>
      <c r="F352" s="72"/>
      <c r="G352" s="72"/>
      <c r="H352" s="29"/>
      <c r="I352" s="29"/>
      <c r="J352" s="72"/>
      <c r="K352" s="72"/>
      <c r="L352" s="72"/>
      <c r="M352" s="72"/>
      <c r="N352" s="72"/>
      <c r="O352" s="72"/>
      <c r="P352" s="72"/>
    </row>
    <row r="353" spans="1:16">
      <c r="A353" s="70"/>
      <c r="B353" s="167"/>
      <c r="C353" s="70"/>
      <c r="D353" s="71"/>
      <c r="E353" s="72"/>
      <c r="F353" s="72"/>
      <c r="G353" s="72"/>
      <c r="H353" s="29"/>
      <c r="I353" s="29"/>
      <c r="J353" s="72"/>
      <c r="K353" s="72"/>
      <c r="L353" s="72"/>
      <c r="M353" s="72"/>
      <c r="N353" s="72"/>
      <c r="O353" s="72"/>
      <c r="P353" s="72"/>
    </row>
    <row r="354" spans="1:16">
      <c r="A354" s="70"/>
      <c r="B354" s="167"/>
      <c r="C354" s="70"/>
      <c r="D354" s="71"/>
      <c r="E354" s="72"/>
      <c r="F354" s="72"/>
      <c r="G354" s="72"/>
      <c r="H354" s="29"/>
      <c r="I354" s="29"/>
      <c r="J354" s="72"/>
      <c r="K354" s="72"/>
      <c r="L354" s="72"/>
      <c r="M354" s="72"/>
      <c r="N354" s="72"/>
      <c r="O354" s="72"/>
      <c r="P354" s="72"/>
    </row>
    <row r="355" spans="1:16">
      <c r="A355" s="70"/>
      <c r="B355" s="167"/>
      <c r="C355" s="70"/>
      <c r="D355" s="71"/>
      <c r="E355" s="72"/>
      <c r="F355" s="72"/>
      <c r="G355" s="72"/>
      <c r="H355" s="29"/>
      <c r="I355" s="29"/>
      <c r="J355" s="72"/>
      <c r="K355" s="72"/>
      <c r="L355" s="72"/>
      <c r="M355" s="72"/>
      <c r="N355" s="72"/>
      <c r="O355" s="72"/>
      <c r="P355" s="72"/>
    </row>
    <row r="356" spans="1:16">
      <c r="A356" s="70"/>
      <c r="B356" s="167"/>
      <c r="C356" s="70"/>
      <c r="D356" s="71"/>
      <c r="E356" s="72"/>
      <c r="F356" s="72"/>
      <c r="G356" s="72"/>
      <c r="H356" s="29"/>
      <c r="I356" s="29"/>
      <c r="J356" s="72"/>
      <c r="K356" s="72"/>
      <c r="L356" s="72"/>
      <c r="M356" s="72"/>
      <c r="N356" s="72"/>
      <c r="O356" s="72"/>
      <c r="P356" s="72"/>
    </row>
    <row r="357" spans="1:16">
      <c r="A357" s="70"/>
      <c r="B357" s="167"/>
      <c r="C357" s="70"/>
      <c r="D357" s="71"/>
      <c r="E357" s="72"/>
      <c r="F357" s="72"/>
      <c r="G357" s="72"/>
      <c r="H357" s="29"/>
      <c r="I357" s="29"/>
      <c r="J357" s="72"/>
      <c r="K357" s="72"/>
      <c r="L357" s="72"/>
      <c r="M357" s="72"/>
      <c r="N357" s="72"/>
      <c r="O357" s="72"/>
      <c r="P357" s="72"/>
    </row>
    <row r="358" spans="1:16">
      <c r="A358" s="70"/>
      <c r="B358" s="167"/>
      <c r="C358" s="70"/>
      <c r="D358" s="71"/>
      <c r="E358" s="72"/>
      <c r="F358" s="72"/>
      <c r="G358" s="72"/>
      <c r="H358" s="29"/>
      <c r="I358" s="29"/>
      <c r="J358" s="72"/>
      <c r="K358" s="72"/>
      <c r="L358" s="72"/>
      <c r="M358" s="72"/>
      <c r="N358" s="72"/>
      <c r="O358" s="72"/>
      <c r="P358" s="72"/>
    </row>
    <row r="359" spans="1:16">
      <c r="A359" s="70"/>
      <c r="B359" s="167"/>
      <c r="C359" s="70"/>
      <c r="D359" s="71"/>
      <c r="E359" s="72"/>
      <c r="F359" s="72"/>
      <c r="G359" s="72"/>
      <c r="H359" s="29"/>
      <c r="I359" s="29"/>
      <c r="J359" s="72"/>
      <c r="K359" s="72"/>
      <c r="L359" s="72"/>
      <c r="M359" s="72"/>
      <c r="N359" s="72"/>
      <c r="O359" s="72"/>
      <c r="P359" s="72"/>
    </row>
    <row r="360" spans="1:16">
      <c r="A360" s="70"/>
      <c r="B360" s="167"/>
      <c r="C360" s="70"/>
      <c r="D360" s="71"/>
      <c r="E360" s="72"/>
      <c r="F360" s="72"/>
      <c r="G360" s="72"/>
      <c r="H360" s="29"/>
      <c r="I360" s="29"/>
      <c r="J360" s="72"/>
      <c r="K360" s="72"/>
      <c r="L360" s="72"/>
      <c r="M360" s="72"/>
      <c r="N360" s="72"/>
      <c r="O360" s="72"/>
      <c r="P360" s="72"/>
    </row>
    <row r="361" spans="1:16">
      <c r="A361" s="70"/>
      <c r="B361" s="167"/>
      <c r="C361" s="70"/>
      <c r="D361" s="71"/>
      <c r="E361" s="72"/>
      <c r="F361" s="72"/>
      <c r="G361" s="72"/>
      <c r="H361" s="29"/>
      <c r="I361" s="29"/>
      <c r="J361" s="72"/>
      <c r="K361" s="72"/>
      <c r="L361" s="72"/>
      <c r="M361" s="72"/>
      <c r="N361" s="72"/>
      <c r="O361" s="72"/>
      <c r="P361" s="72"/>
    </row>
    <row r="362" spans="1:16">
      <c r="A362" s="70"/>
      <c r="B362" s="167"/>
      <c r="C362" s="70"/>
      <c r="D362" s="71"/>
      <c r="E362" s="72"/>
      <c r="F362" s="72"/>
      <c r="G362" s="72"/>
      <c r="H362" s="29"/>
      <c r="I362" s="29"/>
      <c r="J362" s="72"/>
      <c r="K362" s="72"/>
      <c r="L362" s="72"/>
      <c r="M362" s="72"/>
      <c r="N362" s="72"/>
      <c r="O362" s="72"/>
      <c r="P362" s="72"/>
    </row>
    <row r="363" spans="1:16">
      <c r="A363" s="70"/>
      <c r="B363" s="167"/>
      <c r="C363" s="70"/>
      <c r="D363" s="71"/>
      <c r="E363" s="72"/>
      <c r="F363" s="72"/>
      <c r="G363" s="72"/>
      <c r="H363" s="29"/>
      <c r="I363" s="29"/>
      <c r="J363" s="72"/>
      <c r="K363" s="72"/>
      <c r="L363" s="72"/>
      <c r="M363" s="72"/>
      <c r="N363" s="72"/>
      <c r="O363" s="72"/>
      <c r="P363" s="72"/>
    </row>
    <row r="364" spans="1:16">
      <c r="A364" s="70"/>
      <c r="B364" s="167"/>
      <c r="C364" s="70"/>
      <c r="D364" s="71"/>
      <c r="E364" s="72"/>
      <c r="F364" s="72"/>
      <c r="G364" s="72"/>
      <c r="H364" s="29"/>
      <c r="I364" s="29"/>
      <c r="J364" s="72"/>
      <c r="K364" s="72"/>
      <c r="L364" s="72"/>
      <c r="M364" s="72"/>
      <c r="N364" s="72"/>
      <c r="O364" s="72"/>
      <c r="P364" s="72"/>
    </row>
    <row r="365" spans="1:16">
      <c r="A365" s="70"/>
      <c r="B365" s="167"/>
      <c r="C365" s="70"/>
      <c r="D365" s="71"/>
      <c r="E365" s="72"/>
      <c r="F365" s="72"/>
      <c r="G365" s="72"/>
      <c r="H365" s="29"/>
      <c r="I365" s="29"/>
      <c r="J365" s="72"/>
      <c r="K365" s="72"/>
      <c r="L365" s="72"/>
      <c r="M365" s="72"/>
      <c r="N365" s="72"/>
      <c r="O365" s="72"/>
      <c r="P365" s="72"/>
    </row>
    <row r="366" spans="1:16">
      <c r="A366" s="70"/>
      <c r="B366" s="167"/>
      <c r="C366" s="70"/>
      <c r="D366" s="71"/>
      <c r="E366" s="72"/>
      <c r="F366" s="72"/>
      <c r="G366" s="72"/>
      <c r="H366" s="29"/>
      <c r="I366" s="29"/>
      <c r="J366" s="72"/>
      <c r="K366" s="72"/>
      <c r="L366" s="72"/>
      <c r="M366" s="72"/>
      <c r="N366" s="72"/>
      <c r="O366" s="72"/>
      <c r="P366" s="72"/>
    </row>
    <row r="367" spans="1:16">
      <c r="A367" s="70"/>
      <c r="B367" s="167"/>
      <c r="C367" s="70"/>
      <c r="D367" s="71"/>
      <c r="E367" s="72"/>
      <c r="F367" s="72"/>
      <c r="G367" s="72"/>
      <c r="H367" s="29"/>
      <c r="I367" s="29"/>
      <c r="J367" s="72"/>
      <c r="K367" s="72"/>
      <c r="L367" s="72"/>
      <c r="M367" s="72"/>
      <c r="N367" s="72"/>
      <c r="O367" s="72"/>
      <c r="P367" s="72"/>
    </row>
    <row r="368" spans="1:16">
      <c r="A368" s="70"/>
      <c r="B368" s="167"/>
      <c r="C368" s="70"/>
      <c r="D368" s="71"/>
      <c r="E368" s="72"/>
      <c r="F368" s="72"/>
      <c r="G368" s="72"/>
      <c r="H368" s="29"/>
      <c r="I368" s="29"/>
      <c r="J368" s="72"/>
      <c r="K368" s="72"/>
      <c r="L368" s="72"/>
      <c r="M368" s="72"/>
      <c r="N368" s="72"/>
      <c r="O368" s="72"/>
      <c r="P368" s="72"/>
    </row>
    <row r="369" spans="1:16">
      <c r="A369" s="70"/>
      <c r="B369" s="167"/>
      <c r="C369" s="70"/>
      <c r="D369" s="71"/>
      <c r="E369" s="72"/>
      <c r="F369" s="72"/>
      <c r="G369" s="72"/>
      <c r="H369" s="29"/>
      <c r="I369" s="29"/>
      <c r="J369" s="72"/>
      <c r="K369" s="72"/>
      <c r="L369" s="72"/>
      <c r="M369" s="72"/>
      <c r="N369" s="72"/>
      <c r="O369" s="72"/>
      <c r="P369" s="72"/>
    </row>
    <row r="370" spans="1:16">
      <c r="A370" s="70"/>
      <c r="B370" s="167"/>
      <c r="C370" s="70"/>
      <c r="D370" s="71"/>
      <c r="E370" s="72"/>
      <c r="F370" s="72"/>
      <c r="G370" s="72"/>
      <c r="H370" s="29"/>
      <c r="I370" s="29"/>
      <c r="J370" s="72"/>
      <c r="K370" s="72"/>
      <c r="L370" s="72"/>
      <c r="M370" s="72"/>
      <c r="N370" s="72"/>
      <c r="O370" s="72"/>
      <c r="P370" s="72"/>
    </row>
    <row r="371" spans="1:16">
      <c r="A371" s="70"/>
      <c r="B371" s="167"/>
      <c r="C371" s="70"/>
      <c r="D371" s="71"/>
      <c r="E371" s="72"/>
      <c r="F371" s="72"/>
      <c r="G371" s="72"/>
      <c r="H371" s="29"/>
      <c r="I371" s="29"/>
      <c r="J371" s="72"/>
      <c r="K371" s="72"/>
      <c r="L371" s="72"/>
      <c r="M371" s="72"/>
      <c r="N371" s="72"/>
      <c r="O371" s="72"/>
      <c r="P371" s="72"/>
    </row>
    <row r="372" spans="1:16">
      <c r="A372" s="70"/>
      <c r="B372" s="167"/>
      <c r="C372" s="70"/>
      <c r="D372" s="71"/>
      <c r="E372" s="72"/>
      <c r="F372" s="72"/>
      <c r="G372" s="72"/>
      <c r="H372" s="29"/>
      <c r="I372" s="29"/>
      <c r="J372" s="72"/>
      <c r="K372" s="72"/>
      <c r="L372" s="72"/>
      <c r="M372" s="72"/>
      <c r="N372" s="72"/>
      <c r="O372" s="72"/>
      <c r="P372" s="72"/>
    </row>
    <row r="373" spans="1:16">
      <c r="A373" s="70"/>
      <c r="B373" s="167"/>
      <c r="C373" s="70"/>
      <c r="D373" s="71"/>
      <c r="E373" s="72"/>
      <c r="F373" s="72"/>
      <c r="G373" s="72"/>
      <c r="H373" s="29"/>
      <c r="I373" s="29"/>
      <c r="J373" s="72"/>
      <c r="K373" s="72"/>
      <c r="L373" s="72"/>
      <c r="M373" s="72"/>
      <c r="N373" s="72"/>
      <c r="O373" s="72"/>
      <c r="P373" s="72"/>
    </row>
    <row r="374" spans="1:16">
      <c r="A374" s="70"/>
      <c r="B374" s="167"/>
      <c r="C374" s="70"/>
      <c r="D374" s="71"/>
      <c r="E374" s="72"/>
      <c r="F374" s="72"/>
      <c r="G374" s="72"/>
      <c r="H374" s="29"/>
      <c r="I374" s="29"/>
      <c r="J374" s="72"/>
      <c r="K374" s="72"/>
      <c r="L374" s="72"/>
      <c r="M374" s="72"/>
      <c r="N374" s="72"/>
      <c r="O374" s="72"/>
      <c r="P374" s="72"/>
    </row>
    <row r="375" spans="1:16">
      <c r="A375" s="70"/>
      <c r="B375" s="167"/>
      <c r="C375" s="70"/>
      <c r="D375" s="71"/>
      <c r="E375" s="72"/>
      <c r="F375" s="72"/>
      <c r="G375" s="72"/>
      <c r="H375" s="29"/>
      <c r="I375" s="29"/>
      <c r="J375" s="72"/>
      <c r="K375" s="72"/>
      <c r="L375" s="72"/>
      <c r="M375" s="72"/>
      <c r="N375" s="72"/>
      <c r="O375" s="72"/>
      <c r="P375" s="72"/>
    </row>
    <row r="376" spans="1:16">
      <c r="A376" s="70"/>
      <c r="B376" s="167"/>
      <c r="C376" s="70"/>
      <c r="D376" s="71"/>
      <c r="E376" s="72"/>
      <c r="F376" s="72"/>
      <c r="G376" s="72"/>
      <c r="H376" s="29"/>
      <c r="I376" s="29"/>
      <c r="J376" s="72"/>
      <c r="K376" s="72"/>
      <c r="L376" s="72"/>
      <c r="M376" s="72"/>
      <c r="N376" s="72"/>
      <c r="O376" s="72"/>
      <c r="P376" s="72"/>
    </row>
    <row r="377" spans="1:16">
      <c r="A377" s="70"/>
      <c r="B377" s="167"/>
      <c r="C377" s="70"/>
      <c r="D377" s="71"/>
      <c r="E377" s="72"/>
      <c r="F377" s="72"/>
      <c r="G377" s="72"/>
      <c r="H377" s="29"/>
      <c r="I377" s="29"/>
      <c r="J377" s="72"/>
      <c r="K377" s="72"/>
      <c r="L377" s="72"/>
      <c r="M377" s="72"/>
      <c r="N377" s="72"/>
      <c r="O377" s="72"/>
      <c r="P377" s="72"/>
    </row>
    <row r="378" spans="1:16">
      <c r="A378" s="70"/>
      <c r="B378" s="167"/>
      <c r="C378" s="70"/>
      <c r="D378" s="71"/>
      <c r="E378" s="72"/>
      <c r="F378" s="72"/>
      <c r="G378" s="72"/>
      <c r="H378" s="29"/>
      <c r="I378" s="29"/>
      <c r="J378" s="72"/>
      <c r="K378" s="72"/>
      <c r="L378" s="72"/>
      <c r="M378" s="72"/>
      <c r="N378" s="72"/>
      <c r="O378" s="72"/>
      <c r="P378" s="72"/>
    </row>
    <row r="379" spans="1:16">
      <c r="A379" s="70"/>
      <c r="B379" s="167"/>
      <c r="C379" s="70"/>
      <c r="D379" s="71"/>
      <c r="E379" s="72"/>
      <c r="F379" s="72"/>
      <c r="G379" s="72"/>
      <c r="H379" s="29"/>
      <c r="I379" s="29"/>
      <c r="J379" s="72"/>
      <c r="K379" s="72"/>
      <c r="L379" s="72"/>
      <c r="M379" s="72"/>
      <c r="N379" s="72"/>
      <c r="O379" s="72"/>
      <c r="P379" s="72"/>
    </row>
    <row r="380" spans="1:16">
      <c r="A380" s="70"/>
      <c r="B380" s="167"/>
      <c r="C380" s="70"/>
      <c r="D380" s="71"/>
      <c r="E380" s="72"/>
      <c r="F380" s="72"/>
      <c r="G380" s="72"/>
      <c r="H380" s="29"/>
      <c r="I380" s="29"/>
      <c r="J380" s="72"/>
      <c r="K380" s="72"/>
      <c r="L380" s="72"/>
      <c r="M380" s="72"/>
      <c r="N380" s="72"/>
      <c r="O380" s="72"/>
      <c r="P380" s="72"/>
    </row>
    <row r="381" spans="1:16">
      <c r="A381" s="70"/>
      <c r="B381" s="167"/>
      <c r="C381" s="70"/>
      <c r="D381" s="71"/>
      <c r="E381" s="72"/>
      <c r="F381" s="72"/>
      <c r="G381" s="72"/>
      <c r="H381" s="29"/>
      <c r="I381" s="29"/>
      <c r="J381" s="72"/>
      <c r="K381" s="72"/>
      <c r="L381" s="72"/>
      <c r="M381" s="72"/>
      <c r="N381" s="72"/>
      <c r="O381" s="72"/>
      <c r="P381" s="72"/>
    </row>
    <row r="382" spans="1:16">
      <c r="A382" s="70"/>
      <c r="B382" s="167"/>
      <c r="C382" s="70"/>
      <c r="D382" s="71"/>
      <c r="E382" s="72"/>
      <c r="F382" s="72"/>
      <c r="G382" s="72"/>
      <c r="H382" s="29"/>
      <c r="I382" s="29"/>
      <c r="J382" s="72"/>
      <c r="K382" s="72"/>
      <c r="L382" s="72"/>
      <c r="M382" s="72"/>
      <c r="N382" s="72"/>
      <c r="O382" s="72"/>
      <c r="P382" s="72"/>
    </row>
    <row r="383" spans="1:16">
      <c r="A383" s="70"/>
      <c r="B383" s="167"/>
      <c r="C383" s="70"/>
      <c r="D383" s="71"/>
      <c r="E383" s="72"/>
      <c r="F383" s="72"/>
      <c r="G383" s="72"/>
      <c r="H383" s="29"/>
      <c r="I383" s="29"/>
      <c r="J383" s="72"/>
      <c r="K383" s="72"/>
      <c r="L383" s="72"/>
      <c r="M383" s="72"/>
      <c r="N383" s="72"/>
      <c r="O383" s="72"/>
      <c r="P383" s="72"/>
    </row>
    <row r="384" spans="1:16">
      <c r="A384" s="70"/>
      <c r="B384" s="167"/>
      <c r="C384" s="70"/>
      <c r="D384" s="71"/>
      <c r="E384" s="72"/>
      <c r="F384" s="72"/>
      <c r="G384" s="72"/>
      <c r="H384" s="29"/>
      <c r="I384" s="29"/>
      <c r="J384" s="72"/>
      <c r="K384" s="72"/>
      <c r="L384" s="72"/>
      <c r="M384" s="72"/>
      <c r="N384" s="72"/>
      <c r="O384" s="72"/>
      <c r="P384" s="72"/>
    </row>
    <row r="385" spans="1:16">
      <c r="A385" s="70"/>
      <c r="B385" s="167"/>
      <c r="C385" s="70"/>
      <c r="D385" s="71"/>
      <c r="E385" s="72"/>
      <c r="F385" s="72"/>
      <c r="G385" s="72"/>
      <c r="H385" s="29"/>
      <c r="I385" s="29"/>
      <c r="J385" s="72"/>
      <c r="K385" s="72"/>
      <c r="L385" s="72"/>
      <c r="M385" s="72"/>
      <c r="N385" s="72"/>
      <c r="O385" s="72"/>
      <c r="P385" s="72"/>
    </row>
    <row r="386" spans="1:16">
      <c r="A386" s="70"/>
      <c r="B386" s="167"/>
      <c r="C386" s="70"/>
      <c r="D386" s="71"/>
      <c r="E386" s="72"/>
      <c r="F386" s="72"/>
      <c r="G386" s="72"/>
      <c r="H386" s="29"/>
      <c r="I386" s="29"/>
      <c r="J386" s="72"/>
      <c r="K386" s="72"/>
      <c r="L386" s="72"/>
      <c r="M386" s="72"/>
      <c r="N386" s="72"/>
      <c r="O386" s="72"/>
      <c r="P386" s="72"/>
    </row>
    <row r="387" spans="1:16">
      <c r="A387" s="70"/>
      <c r="B387" s="167"/>
      <c r="C387" s="70"/>
      <c r="D387" s="71"/>
      <c r="E387" s="72"/>
      <c r="F387" s="72"/>
      <c r="G387" s="72"/>
      <c r="H387" s="29"/>
      <c r="I387" s="29"/>
      <c r="J387" s="72"/>
      <c r="K387" s="72"/>
      <c r="L387" s="72"/>
      <c r="M387" s="72"/>
      <c r="N387" s="72"/>
      <c r="O387" s="72"/>
      <c r="P387" s="72"/>
    </row>
    <row r="388" spans="1:16">
      <c r="A388" s="70"/>
      <c r="B388" s="167"/>
      <c r="C388" s="70"/>
      <c r="D388" s="71"/>
      <c r="E388" s="72"/>
      <c r="F388" s="72"/>
      <c r="G388" s="72"/>
      <c r="H388" s="29"/>
      <c r="I388" s="29"/>
      <c r="J388" s="72"/>
      <c r="K388" s="72"/>
      <c r="L388" s="72"/>
      <c r="M388" s="72"/>
      <c r="N388" s="72"/>
      <c r="O388" s="72"/>
      <c r="P388" s="72"/>
    </row>
    <row r="389" spans="1:16">
      <c r="A389" s="70"/>
      <c r="B389" s="167"/>
      <c r="C389" s="70"/>
      <c r="D389" s="71"/>
      <c r="E389" s="72"/>
      <c r="F389" s="72"/>
      <c r="G389" s="72"/>
      <c r="H389" s="29"/>
      <c r="I389" s="29"/>
      <c r="J389" s="72"/>
      <c r="K389" s="72"/>
      <c r="L389" s="72"/>
      <c r="M389" s="72"/>
      <c r="N389" s="72"/>
      <c r="O389" s="72"/>
      <c r="P389" s="72"/>
    </row>
    <row r="390" spans="1:16">
      <c r="A390" s="70"/>
      <c r="B390" s="167"/>
      <c r="C390" s="70"/>
      <c r="D390" s="71"/>
      <c r="E390" s="72"/>
      <c r="F390" s="72"/>
      <c r="G390" s="72"/>
      <c r="H390" s="29"/>
      <c r="I390" s="29"/>
      <c r="J390" s="72"/>
      <c r="K390" s="72"/>
      <c r="L390" s="72"/>
      <c r="M390" s="72"/>
      <c r="N390" s="72"/>
      <c r="O390" s="72"/>
      <c r="P390" s="72"/>
    </row>
    <row r="391" spans="1:16">
      <c r="A391" s="70"/>
      <c r="B391" s="167"/>
      <c r="C391" s="70"/>
      <c r="D391" s="71"/>
      <c r="E391" s="72"/>
      <c r="F391" s="72"/>
      <c r="G391" s="72"/>
      <c r="H391" s="29"/>
      <c r="I391" s="29"/>
      <c r="J391" s="72"/>
      <c r="K391" s="72"/>
      <c r="L391" s="72"/>
      <c r="M391" s="72"/>
      <c r="N391" s="72"/>
      <c r="O391" s="72"/>
      <c r="P391" s="72"/>
    </row>
    <row r="392" spans="1:16">
      <c r="A392" s="70"/>
      <c r="B392" s="167"/>
      <c r="C392" s="70"/>
      <c r="D392" s="71"/>
      <c r="E392" s="72"/>
      <c r="F392" s="72"/>
      <c r="G392" s="72"/>
      <c r="H392" s="29"/>
      <c r="I392" s="29"/>
      <c r="J392" s="72"/>
      <c r="K392" s="72"/>
      <c r="L392" s="72"/>
      <c r="M392" s="72"/>
      <c r="N392" s="72"/>
      <c r="O392" s="72"/>
      <c r="P392" s="72"/>
    </row>
    <row r="393" spans="1:16">
      <c r="A393" s="70"/>
      <c r="B393" s="167"/>
      <c r="C393" s="70"/>
      <c r="D393" s="71"/>
      <c r="E393" s="72"/>
      <c r="F393" s="72"/>
      <c r="G393" s="72"/>
      <c r="H393" s="29"/>
      <c r="I393" s="29"/>
      <c r="J393" s="72"/>
      <c r="K393" s="72"/>
      <c r="L393" s="72"/>
      <c r="M393" s="72"/>
      <c r="N393" s="72"/>
      <c r="O393" s="72"/>
      <c r="P393" s="72"/>
    </row>
    <row r="394" spans="1:16">
      <c r="A394" s="70"/>
      <c r="B394" s="167"/>
      <c r="C394" s="70"/>
      <c r="D394" s="71"/>
      <c r="E394" s="72"/>
      <c r="F394" s="72"/>
      <c r="G394" s="72"/>
      <c r="H394" s="29"/>
      <c r="I394" s="29"/>
      <c r="J394" s="72"/>
      <c r="K394" s="72"/>
      <c r="L394" s="72"/>
      <c r="M394" s="72"/>
      <c r="N394" s="72"/>
      <c r="O394" s="72"/>
      <c r="P394" s="72"/>
    </row>
    <row r="395" spans="1:16">
      <c r="A395" s="70"/>
      <c r="B395" s="167"/>
      <c r="C395" s="70"/>
      <c r="D395" s="71"/>
      <c r="E395" s="72"/>
      <c r="F395" s="72"/>
      <c r="G395" s="72"/>
      <c r="H395" s="29"/>
      <c r="I395" s="29"/>
      <c r="J395" s="72"/>
      <c r="K395" s="72"/>
      <c r="L395" s="72"/>
      <c r="M395" s="72"/>
      <c r="N395" s="72"/>
      <c r="O395" s="72"/>
      <c r="P395" s="72"/>
    </row>
    <row r="396" spans="1:16">
      <c r="A396" s="70"/>
      <c r="B396" s="167"/>
      <c r="C396" s="70"/>
      <c r="D396" s="71"/>
      <c r="E396" s="72"/>
      <c r="F396" s="72"/>
      <c r="G396" s="72"/>
      <c r="H396" s="29"/>
      <c r="I396" s="29"/>
      <c r="J396" s="72"/>
      <c r="K396" s="72"/>
      <c r="L396" s="72"/>
      <c r="M396" s="72"/>
      <c r="N396" s="72"/>
      <c r="O396" s="72"/>
      <c r="P396" s="72"/>
    </row>
    <row r="397" spans="1:16">
      <c r="A397" s="70"/>
      <c r="B397" s="167"/>
      <c r="C397" s="70"/>
      <c r="D397" s="71"/>
      <c r="E397" s="72"/>
      <c r="F397" s="72"/>
      <c r="G397" s="72"/>
      <c r="H397" s="29"/>
      <c r="I397" s="29"/>
      <c r="J397" s="72"/>
      <c r="K397" s="72"/>
      <c r="L397" s="72"/>
      <c r="M397" s="72"/>
      <c r="N397" s="72"/>
      <c r="O397" s="72"/>
      <c r="P397" s="72"/>
    </row>
    <row r="398" spans="1:16">
      <c r="A398" s="70"/>
      <c r="B398" s="167"/>
      <c r="C398" s="70"/>
      <c r="D398" s="71"/>
      <c r="E398" s="72"/>
      <c r="F398" s="72"/>
      <c r="G398" s="72"/>
      <c r="H398" s="29"/>
      <c r="I398" s="29"/>
      <c r="J398" s="72"/>
      <c r="K398" s="72"/>
      <c r="L398" s="72"/>
      <c r="M398" s="72"/>
      <c r="N398" s="72"/>
      <c r="O398" s="72"/>
      <c r="P398" s="72"/>
    </row>
    <row r="399" spans="1:16">
      <c r="A399" s="70"/>
      <c r="B399" s="167"/>
      <c r="C399" s="70"/>
      <c r="D399" s="71"/>
      <c r="E399" s="72"/>
      <c r="F399" s="72"/>
      <c r="G399" s="72"/>
      <c r="H399" s="29"/>
      <c r="I399" s="29"/>
      <c r="J399" s="72"/>
      <c r="K399" s="72"/>
      <c r="L399" s="72"/>
      <c r="M399" s="72"/>
      <c r="N399" s="72"/>
      <c r="O399" s="72"/>
      <c r="P399" s="72"/>
    </row>
    <row r="400" spans="1:16">
      <c r="A400" s="70"/>
      <c r="B400" s="167"/>
      <c r="C400" s="70"/>
      <c r="D400" s="71"/>
      <c r="E400" s="72"/>
      <c r="F400" s="72"/>
      <c r="G400" s="72"/>
      <c r="H400" s="29"/>
      <c r="I400" s="29"/>
      <c r="J400" s="72"/>
      <c r="K400" s="72"/>
      <c r="L400" s="72"/>
      <c r="M400" s="72"/>
      <c r="N400" s="72"/>
      <c r="O400" s="72"/>
      <c r="P400" s="72"/>
    </row>
    <row r="401" spans="1:16">
      <c r="A401" s="70"/>
      <c r="B401" s="167"/>
      <c r="C401" s="70"/>
      <c r="D401" s="71"/>
      <c r="E401" s="72"/>
      <c r="F401" s="72"/>
      <c r="G401" s="72"/>
      <c r="H401" s="29"/>
      <c r="I401" s="29"/>
      <c r="J401" s="72"/>
      <c r="K401" s="72"/>
      <c r="L401" s="72"/>
      <c r="M401" s="72"/>
      <c r="N401" s="72"/>
      <c r="O401" s="72"/>
      <c r="P401" s="72"/>
    </row>
    <row r="402" spans="1:16">
      <c r="A402" s="70"/>
      <c r="B402" s="167"/>
      <c r="C402" s="70"/>
      <c r="D402" s="71"/>
      <c r="E402" s="72"/>
      <c r="F402" s="72"/>
      <c r="G402" s="72"/>
      <c r="H402" s="29"/>
      <c r="I402" s="29"/>
      <c r="J402" s="72"/>
      <c r="K402" s="72"/>
      <c r="L402" s="72"/>
      <c r="M402" s="72"/>
      <c r="N402" s="72"/>
      <c r="O402" s="72"/>
      <c r="P402" s="72"/>
    </row>
    <row r="403" spans="1:16">
      <c r="A403" s="70"/>
      <c r="B403" s="167"/>
      <c r="C403" s="70"/>
      <c r="D403" s="71"/>
      <c r="E403" s="72"/>
      <c r="F403" s="72"/>
      <c r="G403" s="72"/>
      <c r="H403" s="29"/>
      <c r="I403" s="29"/>
      <c r="J403" s="72"/>
      <c r="K403" s="72"/>
      <c r="L403" s="72"/>
      <c r="M403" s="72"/>
      <c r="N403" s="72"/>
      <c r="O403" s="72"/>
      <c r="P403" s="72"/>
    </row>
    <row r="404" spans="1:16">
      <c r="A404" s="70"/>
      <c r="B404" s="167"/>
      <c r="C404" s="70"/>
      <c r="D404" s="71"/>
      <c r="E404" s="72"/>
      <c r="F404" s="72"/>
      <c r="G404" s="72"/>
      <c r="H404" s="29"/>
      <c r="I404" s="29"/>
      <c r="J404" s="72"/>
      <c r="K404" s="72"/>
      <c r="L404" s="72"/>
      <c r="M404" s="72"/>
      <c r="N404" s="72"/>
      <c r="O404" s="72"/>
      <c r="P404" s="72"/>
    </row>
    <row r="405" spans="1:16">
      <c r="A405" s="70"/>
      <c r="B405" s="167"/>
      <c r="C405" s="70"/>
      <c r="D405" s="71"/>
      <c r="E405" s="72"/>
      <c r="F405" s="72"/>
      <c r="G405" s="72"/>
      <c r="H405" s="29"/>
      <c r="I405" s="29"/>
      <c r="J405" s="72"/>
      <c r="K405" s="72"/>
      <c r="L405" s="72"/>
      <c r="M405" s="72"/>
      <c r="N405" s="72"/>
      <c r="O405" s="72"/>
      <c r="P405" s="72"/>
    </row>
    <row r="406" spans="1:16">
      <c r="A406" s="70"/>
      <c r="B406" s="167"/>
      <c r="C406" s="70"/>
      <c r="D406" s="71"/>
      <c r="E406" s="72"/>
      <c r="F406" s="72"/>
      <c r="G406" s="72"/>
      <c r="H406" s="29"/>
      <c r="I406" s="29"/>
      <c r="J406" s="72"/>
      <c r="K406" s="72"/>
      <c r="L406" s="72"/>
      <c r="M406" s="72"/>
      <c r="N406" s="72"/>
      <c r="O406" s="72"/>
      <c r="P406" s="72"/>
    </row>
    <row r="407" spans="1:16">
      <c r="A407" s="70"/>
      <c r="B407" s="167"/>
      <c r="C407" s="70"/>
      <c r="D407" s="71"/>
      <c r="E407" s="72"/>
      <c r="F407" s="72"/>
      <c r="G407" s="72"/>
      <c r="H407" s="29"/>
      <c r="I407" s="29"/>
      <c r="J407" s="72"/>
      <c r="K407" s="72"/>
      <c r="L407" s="72"/>
      <c r="M407" s="72"/>
      <c r="N407" s="72"/>
      <c r="O407" s="72"/>
      <c r="P407" s="72"/>
    </row>
    <row r="408" spans="1:16">
      <c r="A408" s="70"/>
      <c r="B408" s="167"/>
      <c r="C408" s="70"/>
      <c r="D408" s="71"/>
      <c r="E408" s="72"/>
      <c r="F408" s="72"/>
      <c r="G408" s="72"/>
      <c r="H408" s="29"/>
      <c r="I408" s="29"/>
      <c r="J408" s="72"/>
      <c r="K408" s="72"/>
      <c r="L408" s="72"/>
      <c r="M408" s="72"/>
      <c r="N408" s="72"/>
      <c r="O408" s="72"/>
      <c r="P408" s="72"/>
    </row>
    <row r="409" spans="1:16">
      <c r="A409" s="70"/>
      <c r="B409" s="167"/>
      <c r="C409" s="70"/>
      <c r="D409" s="71"/>
      <c r="E409" s="72"/>
      <c r="F409" s="72"/>
      <c r="G409" s="72"/>
      <c r="H409" s="29"/>
      <c r="I409" s="29"/>
      <c r="J409" s="72"/>
      <c r="K409" s="72"/>
      <c r="L409" s="72"/>
      <c r="M409" s="72"/>
      <c r="N409" s="72"/>
      <c r="O409" s="72"/>
      <c r="P409" s="72"/>
    </row>
    <row r="410" spans="1:16">
      <c r="A410" s="70"/>
      <c r="B410" s="167"/>
      <c r="C410" s="70"/>
      <c r="D410" s="71"/>
      <c r="E410" s="72"/>
      <c r="F410" s="72"/>
      <c r="G410" s="72"/>
      <c r="H410" s="29"/>
      <c r="I410" s="29"/>
      <c r="J410" s="72"/>
      <c r="K410" s="72"/>
      <c r="L410" s="72"/>
      <c r="M410" s="72"/>
      <c r="N410" s="72"/>
      <c r="O410" s="72"/>
      <c r="P410" s="72"/>
    </row>
    <row r="411" spans="1:16">
      <c r="A411" s="70"/>
      <c r="B411" s="167"/>
      <c r="C411" s="70"/>
      <c r="D411" s="71"/>
      <c r="E411" s="72"/>
      <c r="F411" s="72"/>
      <c r="G411" s="72"/>
      <c r="H411" s="29"/>
      <c r="I411" s="29"/>
      <c r="J411" s="72"/>
      <c r="K411" s="72"/>
      <c r="L411" s="72"/>
      <c r="M411" s="72"/>
      <c r="N411" s="72"/>
      <c r="O411" s="72"/>
      <c r="P411" s="72"/>
    </row>
    <row r="412" spans="1:16">
      <c r="A412" s="70"/>
      <c r="B412" s="167"/>
      <c r="C412" s="70"/>
      <c r="D412" s="71"/>
      <c r="E412" s="72"/>
      <c r="F412" s="72"/>
      <c r="G412" s="72"/>
      <c r="H412" s="29"/>
      <c r="I412" s="29"/>
      <c r="J412" s="72"/>
      <c r="K412" s="72"/>
      <c r="L412" s="72"/>
      <c r="M412" s="72"/>
      <c r="N412" s="72"/>
      <c r="O412" s="72"/>
      <c r="P412" s="72"/>
    </row>
    <row r="413" spans="1:16">
      <c r="A413" s="70"/>
      <c r="B413" s="167"/>
      <c r="C413" s="70"/>
      <c r="D413" s="71"/>
      <c r="E413" s="72"/>
      <c r="F413" s="72"/>
      <c r="G413" s="72"/>
      <c r="H413" s="29"/>
      <c r="I413" s="29"/>
      <c r="J413" s="72"/>
      <c r="K413" s="72"/>
      <c r="L413" s="72"/>
      <c r="M413" s="72"/>
      <c r="N413" s="72"/>
      <c r="O413" s="72"/>
      <c r="P413" s="72"/>
    </row>
    <row r="414" spans="1:16">
      <c r="A414" s="70"/>
      <c r="B414" s="167"/>
      <c r="C414" s="70"/>
      <c r="D414" s="71"/>
      <c r="E414" s="72"/>
      <c r="F414" s="72"/>
      <c r="G414" s="72"/>
      <c r="H414" s="29"/>
      <c r="I414" s="29"/>
      <c r="J414" s="72"/>
      <c r="K414" s="72"/>
      <c r="L414" s="72"/>
      <c r="M414" s="72"/>
      <c r="N414" s="72"/>
      <c r="O414" s="72"/>
      <c r="P414" s="72"/>
    </row>
    <row r="415" spans="1:16">
      <c r="A415" s="70"/>
      <c r="B415" s="167"/>
      <c r="C415" s="70"/>
      <c r="D415" s="71"/>
      <c r="E415" s="72"/>
      <c r="F415" s="72"/>
      <c r="G415" s="72"/>
      <c r="H415" s="29"/>
      <c r="I415" s="29"/>
      <c r="J415" s="72"/>
      <c r="K415" s="72"/>
      <c r="L415" s="72"/>
      <c r="M415" s="72"/>
      <c r="N415" s="72"/>
      <c r="O415" s="72"/>
      <c r="P415" s="72"/>
    </row>
    <row r="416" spans="1:16">
      <c r="A416" s="70"/>
      <c r="C416" s="70"/>
      <c r="D416" s="71"/>
      <c r="E416" s="72"/>
      <c r="F416" s="72"/>
      <c r="G416" s="72"/>
      <c r="H416" s="29"/>
      <c r="I416" s="29"/>
      <c r="J416" s="72"/>
      <c r="K416" s="72"/>
      <c r="L416" s="72"/>
      <c r="M416" s="72"/>
      <c r="N416" s="72"/>
      <c r="O416" s="72"/>
      <c r="P416" s="72"/>
    </row>
    <row r="417" spans="1:16">
      <c r="A417" s="70"/>
      <c r="B417" s="168"/>
      <c r="C417" s="70"/>
      <c r="D417" s="71"/>
      <c r="E417" s="72"/>
      <c r="F417" s="72"/>
      <c r="G417" s="72"/>
      <c r="H417" s="29"/>
      <c r="I417" s="29"/>
      <c r="J417" s="72"/>
      <c r="K417" s="72"/>
      <c r="L417" s="72"/>
      <c r="M417" s="72"/>
      <c r="N417" s="72"/>
      <c r="O417" s="72"/>
      <c r="P417" s="72"/>
    </row>
    <row r="418" spans="1:16">
      <c r="A418" s="70"/>
      <c r="B418" s="169"/>
      <c r="C418" s="70"/>
      <c r="D418" s="71"/>
      <c r="E418" s="72"/>
      <c r="F418" s="72"/>
      <c r="G418" s="72"/>
      <c r="H418" s="29"/>
      <c r="I418" s="29"/>
      <c r="J418" s="72"/>
      <c r="K418" s="72"/>
      <c r="L418" s="72"/>
      <c r="M418" s="72"/>
      <c r="N418" s="72"/>
      <c r="O418" s="72"/>
      <c r="P418" s="72"/>
    </row>
    <row r="419" spans="1:16">
      <c r="A419" s="70"/>
      <c r="B419" s="170"/>
      <c r="C419" s="70"/>
      <c r="D419" s="71"/>
      <c r="E419" s="72"/>
      <c r="F419" s="72"/>
      <c r="G419" s="72"/>
      <c r="H419" s="29"/>
      <c r="I419" s="29"/>
      <c r="J419" s="72"/>
      <c r="K419" s="72"/>
      <c r="L419" s="72"/>
      <c r="M419" s="72"/>
      <c r="N419" s="72"/>
      <c r="O419" s="72"/>
      <c r="P419" s="72"/>
    </row>
    <row r="420" spans="1:16">
      <c r="A420" s="70"/>
      <c r="B420" s="170"/>
      <c r="C420" s="70"/>
      <c r="D420" s="71"/>
      <c r="E420" s="72"/>
      <c r="F420" s="72"/>
      <c r="G420" s="72"/>
      <c r="H420" s="29"/>
      <c r="I420" s="29"/>
      <c r="J420" s="72"/>
      <c r="K420" s="72"/>
      <c r="L420" s="72"/>
      <c r="M420" s="72"/>
      <c r="N420" s="72"/>
      <c r="O420" s="72"/>
      <c r="P420" s="72"/>
    </row>
    <row r="421" spans="1:16">
      <c r="A421" s="70"/>
      <c r="B421" s="170"/>
      <c r="C421" s="70"/>
      <c r="D421" s="71"/>
      <c r="E421" s="72"/>
      <c r="F421" s="72"/>
      <c r="G421" s="72"/>
      <c r="H421" s="29"/>
      <c r="I421" s="29"/>
      <c r="J421" s="72"/>
      <c r="K421" s="72"/>
      <c r="L421" s="72"/>
      <c r="M421" s="72"/>
      <c r="N421" s="72"/>
      <c r="O421" s="72"/>
      <c r="P421" s="72"/>
    </row>
    <row r="422" spans="1:16">
      <c r="A422" s="70"/>
      <c r="B422" s="171"/>
      <c r="C422" s="70"/>
      <c r="D422" s="71"/>
      <c r="E422" s="72"/>
      <c r="F422" s="72"/>
      <c r="G422" s="72"/>
      <c r="H422" s="29"/>
      <c r="I422" s="29"/>
      <c r="J422" s="72"/>
      <c r="K422" s="72"/>
      <c r="L422" s="72"/>
      <c r="M422" s="72"/>
      <c r="N422" s="72"/>
      <c r="O422" s="72"/>
      <c r="P422" s="72"/>
    </row>
    <row r="423" spans="1:16">
      <c r="A423" s="70"/>
      <c r="B423" s="171"/>
      <c r="C423" s="70"/>
      <c r="D423" s="71"/>
      <c r="E423" s="72"/>
      <c r="F423" s="72"/>
      <c r="G423" s="72"/>
      <c r="H423" s="29"/>
      <c r="I423" s="29"/>
      <c r="J423" s="72"/>
      <c r="K423" s="72"/>
      <c r="L423" s="72"/>
      <c r="M423" s="72"/>
      <c r="N423" s="72"/>
      <c r="O423" s="72"/>
      <c r="P423" s="72"/>
    </row>
    <row r="424" spans="1:16">
      <c r="A424" s="70"/>
      <c r="B424" s="171"/>
      <c r="C424" s="70"/>
      <c r="D424" s="71"/>
      <c r="E424" s="72"/>
      <c r="F424" s="72"/>
      <c r="G424" s="72"/>
      <c r="H424" s="29"/>
      <c r="I424" s="29"/>
      <c r="J424" s="72"/>
      <c r="K424" s="72"/>
      <c r="L424" s="72"/>
      <c r="M424" s="72"/>
      <c r="N424" s="72"/>
      <c r="O424" s="72"/>
      <c r="P424" s="72"/>
    </row>
    <row r="425" spans="1:16">
      <c r="A425" s="70"/>
      <c r="B425" s="171"/>
      <c r="C425" s="70"/>
      <c r="D425" s="71"/>
      <c r="E425" s="72"/>
      <c r="F425" s="72"/>
      <c r="G425" s="72"/>
      <c r="H425" s="29"/>
      <c r="I425" s="29"/>
      <c r="J425" s="72"/>
      <c r="K425" s="72"/>
      <c r="L425" s="72"/>
      <c r="M425" s="72"/>
      <c r="N425" s="72"/>
      <c r="O425" s="72"/>
      <c r="P425" s="72"/>
    </row>
    <row r="426" spans="1:16">
      <c r="A426" s="70"/>
      <c r="B426" s="171"/>
      <c r="C426" s="70"/>
      <c r="D426" s="71"/>
      <c r="E426" s="72"/>
      <c r="F426" s="72"/>
      <c r="G426" s="72"/>
      <c r="H426" s="29"/>
      <c r="I426" s="29"/>
      <c r="J426" s="72"/>
      <c r="K426" s="72"/>
      <c r="L426" s="72"/>
      <c r="M426" s="72"/>
      <c r="N426" s="72"/>
      <c r="O426" s="72"/>
      <c r="P426" s="72"/>
    </row>
    <row r="427" spans="1:16">
      <c r="A427" s="70"/>
      <c r="B427" s="170"/>
      <c r="C427" s="70"/>
      <c r="D427" s="71"/>
      <c r="E427" s="72"/>
      <c r="F427" s="72"/>
      <c r="G427" s="72"/>
      <c r="H427" s="29"/>
      <c r="I427" s="29"/>
      <c r="J427" s="72"/>
      <c r="K427" s="72"/>
      <c r="L427" s="72"/>
      <c r="M427" s="72"/>
      <c r="N427" s="72"/>
      <c r="O427" s="72"/>
      <c r="P427" s="72"/>
    </row>
    <row r="428" spans="1:16">
      <c r="A428" s="70"/>
      <c r="B428" s="170"/>
      <c r="C428" s="70"/>
      <c r="D428" s="71"/>
      <c r="E428" s="72"/>
      <c r="F428" s="72"/>
      <c r="G428" s="72"/>
      <c r="H428" s="29"/>
      <c r="I428" s="29"/>
      <c r="J428" s="72"/>
      <c r="K428" s="72"/>
      <c r="L428" s="72"/>
      <c r="M428" s="72"/>
      <c r="N428" s="72"/>
      <c r="O428" s="72"/>
      <c r="P428" s="72"/>
    </row>
    <row r="429" spans="1:16">
      <c r="A429" s="70"/>
      <c r="B429" s="170"/>
      <c r="C429" s="70"/>
      <c r="D429" s="71"/>
      <c r="E429" s="72"/>
      <c r="F429" s="72"/>
      <c r="G429" s="72"/>
      <c r="H429" s="29"/>
      <c r="I429" s="29"/>
      <c r="J429" s="72"/>
      <c r="K429" s="72"/>
      <c r="L429" s="72"/>
      <c r="M429" s="72"/>
      <c r="N429" s="72"/>
      <c r="O429" s="72"/>
      <c r="P429" s="72"/>
    </row>
    <row r="430" spans="1:16">
      <c r="A430" s="70"/>
      <c r="B430" s="170"/>
      <c r="C430" s="70"/>
      <c r="D430" s="71"/>
      <c r="E430" s="72"/>
      <c r="F430" s="72"/>
      <c r="G430" s="72"/>
      <c r="H430" s="29"/>
      <c r="I430" s="29"/>
      <c r="J430" s="72"/>
      <c r="K430" s="72"/>
      <c r="L430" s="72"/>
      <c r="M430" s="72"/>
      <c r="N430" s="72"/>
      <c r="O430" s="72"/>
      <c r="P430" s="72"/>
    </row>
    <row r="431" spans="1:16">
      <c r="A431" s="70"/>
      <c r="B431" s="172"/>
      <c r="C431" s="70"/>
      <c r="D431" s="71"/>
      <c r="E431" s="72"/>
      <c r="F431" s="72"/>
      <c r="G431" s="72"/>
      <c r="H431" s="29"/>
      <c r="I431" s="29"/>
      <c r="J431" s="72"/>
      <c r="K431" s="72"/>
      <c r="L431" s="72"/>
      <c r="M431" s="72"/>
      <c r="N431" s="72"/>
      <c r="O431" s="72"/>
      <c r="P431" s="72"/>
    </row>
    <row r="432" spans="1:16">
      <c r="A432" s="70"/>
      <c r="B432" s="172"/>
      <c r="C432" s="70"/>
      <c r="D432" s="71"/>
      <c r="E432" s="72"/>
      <c r="F432" s="72"/>
      <c r="G432" s="72"/>
      <c r="H432" s="29"/>
      <c r="I432" s="29"/>
      <c r="J432" s="72"/>
      <c r="K432" s="72"/>
      <c r="L432" s="72"/>
      <c r="M432" s="72"/>
      <c r="N432" s="72"/>
      <c r="O432" s="72"/>
      <c r="P432" s="72"/>
    </row>
    <row r="433" spans="1:16">
      <c r="A433" s="70"/>
      <c r="B433" s="172"/>
      <c r="C433" s="70"/>
      <c r="D433" s="71"/>
      <c r="E433" s="72"/>
      <c r="F433" s="72"/>
      <c r="G433" s="72"/>
      <c r="H433" s="29"/>
      <c r="I433" s="29"/>
      <c r="J433" s="72"/>
      <c r="K433" s="72"/>
      <c r="L433" s="72"/>
      <c r="M433" s="72"/>
      <c r="N433" s="72"/>
      <c r="O433" s="72"/>
      <c r="P433" s="72"/>
    </row>
    <row r="434" spans="1:16">
      <c r="A434" s="70"/>
      <c r="B434" s="173"/>
      <c r="C434" s="70"/>
      <c r="D434" s="71"/>
      <c r="E434" s="72"/>
      <c r="F434" s="72"/>
      <c r="G434" s="72"/>
      <c r="H434" s="29"/>
      <c r="I434" s="29"/>
      <c r="J434" s="72"/>
      <c r="K434" s="72"/>
      <c r="L434" s="72"/>
      <c r="M434" s="72"/>
      <c r="N434" s="72"/>
      <c r="O434" s="72"/>
      <c r="P434" s="72"/>
    </row>
    <row r="435" spans="1:16">
      <c r="A435" s="70"/>
      <c r="B435" s="173"/>
      <c r="C435" s="70"/>
      <c r="D435" s="71"/>
      <c r="E435" s="72"/>
      <c r="F435" s="72"/>
      <c r="G435" s="72"/>
      <c r="H435" s="29"/>
      <c r="I435" s="29"/>
      <c r="J435" s="72"/>
      <c r="K435" s="72"/>
      <c r="L435" s="72"/>
      <c r="M435" s="72"/>
      <c r="N435" s="72"/>
      <c r="O435" s="72"/>
      <c r="P435" s="72"/>
    </row>
    <row r="436" spans="1:16">
      <c r="A436" s="70"/>
      <c r="B436" s="173"/>
      <c r="C436" s="70"/>
      <c r="D436" s="71"/>
      <c r="E436" s="72"/>
      <c r="F436" s="72"/>
      <c r="G436" s="72"/>
      <c r="H436" s="29"/>
      <c r="I436" s="29"/>
      <c r="J436" s="72"/>
      <c r="K436" s="72"/>
      <c r="L436" s="72"/>
      <c r="M436" s="72"/>
      <c r="N436" s="72"/>
      <c r="O436" s="72"/>
      <c r="P436" s="72"/>
    </row>
    <row r="437" spans="1:16">
      <c r="A437" s="70"/>
      <c r="B437" s="174"/>
      <c r="C437" s="70"/>
      <c r="D437" s="71"/>
      <c r="E437" s="72"/>
      <c r="F437" s="72"/>
      <c r="G437" s="72"/>
      <c r="H437" s="29"/>
      <c r="I437" s="29"/>
      <c r="J437" s="72"/>
      <c r="K437" s="72"/>
      <c r="L437" s="72"/>
      <c r="M437" s="72"/>
      <c r="N437" s="72"/>
      <c r="O437" s="72"/>
      <c r="P437" s="72"/>
    </row>
    <row r="438" spans="1:16">
      <c r="A438" s="70"/>
      <c r="B438" s="174"/>
      <c r="C438" s="70"/>
      <c r="D438" s="71"/>
      <c r="E438" s="72"/>
      <c r="F438" s="72"/>
      <c r="G438" s="72"/>
      <c r="H438" s="29"/>
      <c r="I438" s="29"/>
      <c r="J438" s="72"/>
      <c r="K438" s="72"/>
      <c r="L438" s="72"/>
      <c r="M438" s="72"/>
      <c r="N438" s="72"/>
      <c r="O438" s="72"/>
      <c r="P438" s="72"/>
    </row>
    <row r="439" spans="1:16">
      <c r="A439" s="70"/>
      <c r="B439" s="175"/>
      <c r="C439" s="70"/>
      <c r="D439" s="71"/>
      <c r="E439" s="72"/>
      <c r="F439" s="72"/>
      <c r="G439" s="72"/>
      <c r="H439" s="29"/>
      <c r="I439" s="29"/>
      <c r="J439" s="72"/>
      <c r="K439" s="72"/>
      <c r="L439" s="72"/>
      <c r="M439" s="72"/>
      <c r="N439" s="72"/>
      <c r="O439" s="72"/>
      <c r="P439" s="72"/>
    </row>
    <row r="440" spans="1:16">
      <c r="A440" s="70"/>
      <c r="B440" s="169"/>
      <c r="C440" s="70"/>
      <c r="D440" s="71"/>
      <c r="E440" s="72"/>
      <c r="F440" s="72"/>
      <c r="G440" s="72"/>
      <c r="H440" s="29"/>
      <c r="I440" s="29"/>
      <c r="J440" s="72"/>
      <c r="K440" s="72"/>
      <c r="L440" s="72"/>
      <c r="M440" s="72"/>
      <c r="N440" s="72"/>
      <c r="O440" s="72"/>
      <c r="P440" s="72"/>
    </row>
    <row r="441" spans="1:16">
      <c r="A441" s="70"/>
      <c r="C441" s="70"/>
      <c r="D441" s="71"/>
      <c r="E441" s="72"/>
      <c r="F441" s="72"/>
      <c r="G441" s="72"/>
      <c r="H441" s="29"/>
      <c r="I441" s="29"/>
      <c r="J441" s="72"/>
      <c r="K441" s="72"/>
      <c r="L441" s="72"/>
      <c r="M441" s="72"/>
      <c r="N441" s="72"/>
      <c r="O441" s="72"/>
      <c r="P441" s="72"/>
    </row>
    <row r="442" spans="1:16">
      <c r="A442" s="70"/>
      <c r="B442" s="168"/>
      <c r="C442" s="70"/>
      <c r="D442" s="71"/>
      <c r="E442" s="72"/>
      <c r="F442" s="72"/>
      <c r="G442" s="72"/>
      <c r="H442" s="29"/>
      <c r="I442" s="29"/>
      <c r="J442" s="72"/>
      <c r="K442" s="72"/>
      <c r="L442" s="72"/>
      <c r="M442" s="72"/>
      <c r="N442" s="72"/>
      <c r="O442" s="72"/>
      <c r="P442" s="72"/>
    </row>
    <row r="443" spans="1:16">
      <c r="A443" s="70"/>
      <c r="B443" s="169"/>
      <c r="C443" s="70"/>
      <c r="D443" s="71"/>
      <c r="E443" s="72"/>
      <c r="F443" s="72"/>
      <c r="G443" s="72"/>
      <c r="H443" s="29"/>
      <c r="I443" s="29"/>
      <c r="J443" s="72"/>
      <c r="K443" s="72"/>
      <c r="L443" s="72"/>
      <c r="M443" s="72"/>
      <c r="N443" s="72"/>
      <c r="O443" s="72"/>
      <c r="P443" s="72"/>
    </row>
    <row r="444" spans="1:16">
      <c r="A444" s="70"/>
      <c r="B444" s="169"/>
      <c r="C444" s="70"/>
      <c r="D444" s="71"/>
      <c r="E444" s="72"/>
      <c r="F444" s="72"/>
      <c r="G444" s="72"/>
      <c r="H444" s="29"/>
      <c r="I444" s="29"/>
      <c r="J444" s="72"/>
      <c r="K444" s="72"/>
      <c r="L444" s="72"/>
      <c r="M444" s="72"/>
      <c r="N444" s="72"/>
      <c r="O444" s="72"/>
      <c r="P444" s="72"/>
    </row>
    <row r="445" spans="1:16">
      <c r="A445" s="70"/>
      <c r="B445" s="169"/>
      <c r="C445" s="70"/>
      <c r="D445" s="71"/>
      <c r="E445" s="72"/>
      <c r="F445" s="72"/>
      <c r="G445" s="72"/>
      <c r="H445" s="29"/>
      <c r="I445" s="29"/>
      <c r="J445" s="72"/>
      <c r="K445" s="72"/>
      <c r="L445" s="72"/>
      <c r="M445" s="72"/>
      <c r="N445" s="72"/>
      <c r="O445" s="72"/>
      <c r="P445" s="72"/>
    </row>
    <row r="446" spans="1:16">
      <c r="A446" s="70"/>
      <c r="B446" s="169"/>
      <c r="C446" s="70"/>
      <c r="D446" s="71"/>
      <c r="E446" s="72"/>
      <c r="F446" s="72"/>
      <c r="G446" s="72"/>
      <c r="H446" s="29"/>
      <c r="I446" s="29"/>
      <c r="J446" s="72"/>
      <c r="K446" s="72"/>
      <c r="L446" s="72"/>
      <c r="M446" s="72"/>
      <c r="N446" s="72"/>
      <c r="O446" s="72"/>
      <c r="P446" s="72"/>
    </row>
    <row r="447" spans="1:16">
      <c r="A447" s="70"/>
      <c r="B447" s="169"/>
      <c r="C447" s="70"/>
      <c r="D447" s="71"/>
      <c r="E447" s="72"/>
      <c r="F447" s="72"/>
      <c r="G447" s="72"/>
      <c r="H447" s="29"/>
      <c r="I447" s="29"/>
      <c r="J447" s="72"/>
      <c r="K447" s="72"/>
      <c r="L447" s="72"/>
      <c r="M447" s="72"/>
      <c r="N447" s="72"/>
      <c r="O447" s="72"/>
      <c r="P447" s="72"/>
    </row>
    <row r="448" spans="1:16">
      <c r="A448" s="70"/>
      <c r="B448" s="169"/>
      <c r="C448" s="70"/>
      <c r="D448" s="71"/>
      <c r="E448" s="72"/>
      <c r="F448" s="72"/>
      <c r="G448" s="72"/>
      <c r="H448" s="29"/>
      <c r="I448" s="29"/>
      <c r="J448" s="72"/>
      <c r="K448" s="72"/>
      <c r="L448" s="72"/>
      <c r="M448" s="72"/>
      <c r="N448" s="72"/>
      <c r="O448" s="72"/>
      <c r="P448" s="72"/>
    </row>
    <row r="449" spans="1:16">
      <c r="A449" s="70"/>
      <c r="B449" s="169"/>
      <c r="C449" s="70"/>
      <c r="D449" s="71"/>
      <c r="E449" s="72"/>
      <c r="F449" s="72"/>
      <c r="G449" s="72"/>
      <c r="H449" s="29"/>
      <c r="I449" s="29"/>
      <c r="J449" s="72"/>
      <c r="K449" s="72"/>
      <c r="L449" s="72"/>
      <c r="M449" s="72"/>
      <c r="N449" s="72"/>
      <c r="O449" s="72"/>
      <c r="P449" s="72"/>
    </row>
    <row r="450" spans="1:16">
      <c r="A450" s="70"/>
      <c r="B450" s="169"/>
      <c r="C450" s="70"/>
      <c r="D450" s="71"/>
      <c r="E450" s="72"/>
      <c r="F450" s="72"/>
      <c r="G450" s="72"/>
      <c r="H450" s="29"/>
      <c r="I450" s="29"/>
      <c r="J450" s="72"/>
      <c r="K450" s="72"/>
      <c r="L450" s="72"/>
      <c r="M450" s="72"/>
      <c r="N450" s="72"/>
      <c r="O450" s="72"/>
      <c r="P450" s="72"/>
    </row>
    <row r="451" spans="1:16">
      <c r="A451" s="70"/>
      <c r="B451" s="169"/>
      <c r="C451" s="70"/>
      <c r="D451" s="71"/>
      <c r="E451" s="72"/>
      <c r="F451" s="72"/>
      <c r="G451" s="72"/>
      <c r="H451" s="29"/>
      <c r="I451" s="29"/>
      <c r="J451" s="72"/>
      <c r="K451" s="72"/>
      <c r="L451" s="72"/>
      <c r="M451" s="72"/>
      <c r="N451" s="72"/>
      <c r="O451" s="72"/>
      <c r="P451" s="72"/>
    </row>
    <row r="452" spans="1:16">
      <c r="A452" s="70"/>
      <c r="B452" s="169"/>
      <c r="C452" s="70"/>
      <c r="D452" s="71"/>
      <c r="E452" s="72"/>
      <c r="F452" s="72"/>
      <c r="G452" s="72"/>
      <c r="H452" s="29"/>
      <c r="I452" s="29"/>
      <c r="J452" s="72"/>
      <c r="K452" s="72"/>
      <c r="L452" s="72"/>
      <c r="M452" s="72"/>
      <c r="N452" s="72"/>
      <c r="O452" s="72"/>
      <c r="P452" s="72"/>
    </row>
    <row r="453" spans="1:16">
      <c r="A453" s="70"/>
      <c r="B453" s="169"/>
      <c r="C453" s="70"/>
      <c r="D453" s="71"/>
      <c r="E453" s="72"/>
      <c r="F453" s="72"/>
      <c r="G453" s="72"/>
      <c r="H453" s="29"/>
      <c r="I453" s="29"/>
      <c r="J453" s="72"/>
      <c r="K453" s="72"/>
      <c r="L453" s="72"/>
      <c r="M453" s="72"/>
      <c r="N453" s="72"/>
      <c r="O453" s="72"/>
      <c r="P453" s="72"/>
    </row>
    <row r="454" spans="1:16">
      <c r="A454" s="70"/>
      <c r="B454" s="169"/>
      <c r="C454" s="70"/>
      <c r="D454" s="71"/>
      <c r="E454" s="72"/>
      <c r="F454" s="72"/>
      <c r="G454" s="72"/>
      <c r="H454" s="29"/>
      <c r="I454" s="29"/>
      <c r="J454" s="72"/>
      <c r="K454" s="72"/>
      <c r="L454" s="72"/>
      <c r="M454" s="72"/>
      <c r="N454" s="72"/>
      <c r="O454" s="72"/>
      <c r="P454" s="72"/>
    </row>
    <row r="455" spans="1:16">
      <c r="A455" s="70"/>
      <c r="B455" s="169"/>
      <c r="C455" s="70"/>
      <c r="D455" s="71"/>
      <c r="E455" s="72"/>
      <c r="F455" s="72"/>
      <c r="G455" s="72"/>
      <c r="H455" s="29"/>
      <c r="I455" s="29"/>
      <c r="J455" s="72"/>
      <c r="K455" s="72"/>
      <c r="L455" s="72"/>
      <c r="M455" s="72"/>
      <c r="N455" s="72"/>
      <c r="O455" s="72"/>
      <c r="P455" s="72"/>
    </row>
    <row r="456" spans="1:16">
      <c r="A456" s="70"/>
      <c r="B456" s="176"/>
      <c r="C456" s="70"/>
      <c r="D456" s="71"/>
      <c r="E456" s="72"/>
      <c r="F456" s="72"/>
      <c r="G456" s="72"/>
      <c r="H456" s="29"/>
      <c r="I456" s="29"/>
      <c r="J456" s="72"/>
      <c r="K456" s="72"/>
      <c r="L456" s="72"/>
      <c r="M456" s="72"/>
      <c r="N456" s="72"/>
      <c r="O456" s="72"/>
      <c r="P456" s="72"/>
    </row>
    <row r="457" spans="1:16">
      <c r="B457" s="176"/>
      <c r="C457" s="177"/>
      <c r="D457" s="178" t="s">
        <v>57</v>
      </c>
      <c r="E457" s="179" t="s">
        <v>58</v>
      </c>
      <c r="F457" s="76" t="s">
        <v>59</v>
      </c>
      <c r="G457" s="76"/>
      <c r="H457" s="180" t="s">
        <v>60</v>
      </c>
      <c r="J457" s="181"/>
      <c r="K457" s="181"/>
      <c r="N457" s="181"/>
      <c r="O457" s="181"/>
      <c r="P457" s="182"/>
    </row>
    <row r="458" spans="1:16">
      <c r="A458" s="183">
        <f>SUM(A459:A479)</f>
        <v>132</v>
      </c>
      <c r="B458" s="168"/>
      <c r="C458" s="79" t="s">
        <v>61</v>
      </c>
      <c r="D458" s="184"/>
      <c r="E458" s="185"/>
      <c r="F458" s="76"/>
      <c r="G458" s="76"/>
      <c r="H458" s="186"/>
      <c r="I458" s="187">
        <v>312.98799999999994</v>
      </c>
      <c r="J458" s="181"/>
      <c r="K458" s="181"/>
      <c r="L458" s="187">
        <f>SUM(L460:L479)</f>
        <v>857.07999999999993</v>
      </c>
      <c r="M458" s="187">
        <f>SUM(M460:M479)</f>
        <v>173.30999999999997</v>
      </c>
      <c r="N458" s="181"/>
      <c r="O458" s="181"/>
      <c r="P458" s="182"/>
    </row>
    <row r="459" spans="1:16">
      <c r="A459" s="83"/>
      <c r="B459" s="176"/>
      <c r="C459" s="188"/>
      <c r="D459" s="184"/>
      <c r="E459" s="185"/>
      <c r="F459" s="76"/>
      <c r="G459" s="76"/>
      <c r="H459" s="186"/>
      <c r="I459" s="187"/>
      <c r="J459" s="181"/>
      <c r="K459" s="181"/>
      <c r="L459" s="187"/>
      <c r="M459" s="187"/>
      <c r="N459" s="181"/>
      <c r="O459" s="181"/>
      <c r="P459" s="182"/>
    </row>
    <row r="460" spans="1:16">
      <c r="A460" s="85">
        <f>1</f>
        <v>1</v>
      </c>
      <c r="B460" s="189"/>
      <c r="C460" s="188" t="s">
        <v>62</v>
      </c>
      <c r="D460" s="190">
        <f>0.97</f>
        <v>0.97</v>
      </c>
      <c r="E460" s="191">
        <f>0.57</f>
        <v>0.56999999999999995</v>
      </c>
      <c r="F460" s="88">
        <v>0.55289999999999995</v>
      </c>
      <c r="G460" s="88"/>
      <c r="H460" s="192">
        <v>3.08</v>
      </c>
      <c r="I460" s="192">
        <v>0.55289999999999995</v>
      </c>
      <c r="J460" s="181"/>
      <c r="K460" s="181"/>
      <c r="L460" s="192">
        <f t="shared" ref="L460:L479" si="0">A460*(H460-D460)</f>
        <v>2.1100000000000003</v>
      </c>
      <c r="M460" s="192">
        <f t="shared" ref="M460:M479" si="1">A460*D460</f>
        <v>0.97</v>
      </c>
      <c r="N460" s="181"/>
      <c r="O460" s="181"/>
      <c r="P460" s="193"/>
    </row>
    <row r="461" spans="1:16">
      <c r="A461" s="85">
        <f>1</f>
        <v>1</v>
      </c>
      <c r="B461" s="189"/>
      <c r="C461" s="188" t="s">
        <v>63</v>
      </c>
      <c r="D461" s="190">
        <f>0.97</f>
        <v>0.97</v>
      </c>
      <c r="E461" s="191">
        <f>0.57</f>
        <v>0.56999999999999995</v>
      </c>
      <c r="F461" s="88">
        <v>0.55289999999999995</v>
      </c>
      <c r="G461" s="88"/>
      <c r="H461" s="192">
        <v>3.08</v>
      </c>
      <c r="I461" s="192">
        <v>0.55289999999999995</v>
      </c>
      <c r="J461" s="181"/>
      <c r="K461" s="181"/>
      <c r="L461" s="192">
        <f t="shared" si="0"/>
        <v>2.1100000000000003</v>
      </c>
      <c r="M461" s="192">
        <f t="shared" si="1"/>
        <v>0.97</v>
      </c>
      <c r="N461" s="181"/>
      <c r="O461" s="181"/>
      <c r="P461" s="181"/>
    </row>
    <row r="462" spans="1:16">
      <c r="A462" s="85">
        <f>1</f>
        <v>1</v>
      </c>
      <c r="B462" s="189"/>
      <c r="C462" s="188" t="s">
        <v>64</v>
      </c>
      <c r="D462" s="190">
        <f>2.97</f>
        <v>2.97</v>
      </c>
      <c r="E462" s="191">
        <f>0.57</f>
        <v>0.56999999999999995</v>
      </c>
      <c r="F462" s="88">
        <v>1.6929000000000001</v>
      </c>
      <c r="G462" s="88"/>
      <c r="H462" s="192">
        <v>8.2200000000000006</v>
      </c>
      <c r="I462" s="192">
        <v>1.6929000000000001</v>
      </c>
      <c r="J462" s="181"/>
      <c r="K462" s="181"/>
      <c r="L462" s="192">
        <f t="shared" si="0"/>
        <v>5.25</v>
      </c>
      <c r="M462" s="192">
        <f t="shared" si="1"/>
        <v>2.97</v>
      </c>
      <c r="N462" s="181"/>
      <c r="O462" s="181"/>
      <c r="P462" s="181"/>
    </row>
    <row r="463" spans="1:16">
      <c r="A463" s="90">
        <f>1</f>
        <v>1</v>
      </c>
      <c r="B463" s="189"/>
      <c r="C463" s="188" t="s">
        <v>65</v>
      </c>
      <c r="D463" s="190">
        <f>0.53</f>
        <v>0.53</v>
      </c>
      <c r="E463" s="191">
        <f t="shared" ref="E463:E469" si="2">1.77</f>
        <v>1.77</v>
      </c>
      <c r="F463" s="88">
        <v>0.93810000000000004</v>
      </c>
      <c r="G463" s="88"/>
      <c r="H463" s="192">
        <v>4.5999999999999996</v>
      </c>
      <c r="I463" s="192">
        <v>0.93810000000000004</v>
      </c>
      <c r="J463" s="181"/>
      <c r="K463" s="181"/>
      <c r="L463" s="192">
        <f t="shared" si="0"/>
        <v>4.0699999999999994</v>
      </c>
      <c r="M463" s="192">
        <f t="shared" si="1"/>
        <v>0.53</v>
      </c>
      <c r="N463" s="181"/>
      <c r="O463" s="181"/>
      <c r="P463" s="181"/>
    </row>
    <row r="464" spans="1:16">
      <c r="A464" s="90">
        <f>1</f>
        <v>1</v>
      </c>
      <c r="B464" s="189"/>
      <c r="C464" s="188" t="s">
        <v>66</v>
      </c>
      <c r="D464" s="190">
        <f>0.77</f>
        <v>0.77</v>
      </c>
      <c r="E464" s="191">
        <f t="shared" si="2"/>
        <v>1.77</v>
      </c>
      <c r="F464" s="88">
        <v>1.3629</v>
      </c>
      <c r="G464" s="88"/>
      <c r="H464" s="192">
        <v>5.08</v>
      </c>
      <c r="I464" s="192">
        <v>1.3629</v>
      </c>
      <c r="J464" s="181"/>
      <c r="K464" s="181"/>
      <c r="L464" s="192">
        <f t="shared" si="0"/>
        <v>4.3100000000000005</v>
      </c>
      <c r="M464" s="192">
        <f t="shared" si="1"/>
        <v>0.77</v>
      </c>
      <c r="N464" s="181"/>
      <c r="O464" s="181"/>
      <c r="P464" s="181"/>
    </row>
    <row r="465" spans="1:16">
      <c r="A465" s="90">
        <f>1</f>
        <v>1</v>
      </c>
      <c r="B465" s="189"/>
      <c r="C465" s="188" t="s">
        <v>67</v>
      </c>
      <c r="D465" s="190">
        <f>0.77</f>
        <v>0.77</v>
      </c>
      <c r="E465" s="191">
        <f t="shared" si="2"/>
        <v>1.77</v>
      </c>
      <c r="F465" s="88">
        <v>1.3629</v>
      </c>
      <c r="G465" s="88"/>
      <c r="H465" s="192">
        <v>5.08</v>
      </c>
      <c r="I465" s="192">
        <v>1.3629</v>
      </c>
      <c r="J465" s="181"/>
      <c r="K465" s="181"/>
      <c r="L465" s="192">
        <f t="shared" si="0"/>
        <v>4.3100000000000005</v>
      </c>
      <c r="M465" s="192">
        <f t="shared" si="1"/>
        <v>0.77</v>
      </c>
      <c r="N465" s="181"/>
      <c r="O465" s="181"/>
      <c r="P465" s="181"/>
    </row>
    <row r="466" spans="1:16">
      <c r="A466" s="90">
        <f>10+16</f>
        <v>26</v>
      </c>
      <c r="B466" s="189"/>
      <c r="C466" s="188" t="s">
        <v>68</v>
      </c>
      <c r="D466" s="190">
        <f>1.17</f>
        <v>1.17</v>
      </c>
      <c r="E466" s="191">
        <f t="shared" si="2"/>
        <v>1.77</v>
      </c>
      <c r="F466" s="88">
        <v>2.0709</v>
      </c>
      <c r="G466" s="88"/>
      <c r="H466" s="192">
        <v>5.88</v>
      </c>
      <c r="I466" s="192">
        <v>53.843400000000003</v>
      </c>
      <c r="J466" s="181"/>
      <c r="K466" s="181"/>
      <c r="L466" s="192">
        <f t="shared" si="0"/>
        <v>122.46</v>
      </c>
      <c r="M466" s="192">
        <f t="shared" si="1"/>
        <v>30.419999999999998</v>
      </c>
      <c r="N466" s="181"/>
      <c r="O466" s="181"/>
      <c r="P466" s="181"/>
    </row>
    <row r="467" spans="1:16">
      <c r="A467" s="90">
        <f>10+13</f>
        <v>23</v>
      </c>
      <c r="B467" s="189"/>
      <c r="C467" s="188" t="s">
        <v>69</v>
      </c>
      <c r="D467" s="190">
        <f>1.17</f>
        <v>1.17</v>
      </c>
      <c r="E467" s="191">
        <f t="shared" si="2"/>
        <v>1.77</v>
      </c>
      <c r="F467" s="88">
        <v>2.0709</v>
      </c>
      <c r="G467" s="88"/>
      <c r="H467" s="192">
        <v>5.88</v>
      </c>
      <c r="I467" s="192">
        <v>47.630699999999997</v>
      </c>
      <c r="J467" s="181"/>
      <c r="K467" s="181"/>
      <c r="L467" s="192">
        <f t="shared" si="0"/>
        <v>108.33</v>
      </c>
      <c r="M467" s="192">
        <f t="shared" si="1"/>
        <v>26.909999999999997</v>
      </c>
      <c r="N467" s="181"/>
      <c r="O467" s="181"/>
      <c r="P467" s="181"/>
    </row>
    <row r="468" spans="1:16">
      <c r="A468" s="85">
        <f>8+14</f>
        <v>22</v>
      </c>
      <c r="B468" s="189"/>
      <c r="C468" s="188" t="s">
        <v>70</v>
      </c>
      <c r="D468" s="190">
        <f>1.57</f>
        <v>1.57</v>
      </c>
      <c r="E468" s="191">
        <f t="shared" si="2"/>
        <v>1.77</v>
      </c>
      <c r="F468" s="88">
        <v>2.7789000000000001</v>
      </c>
      <c r="G468" s="88"/>
      <c r="H468" s="192">
        <v>10.02</v>
      </c>
      <c r="I468" s="192">
        <v>61.135800000000003</v>
      </c>
      <c r="J468" s="181"/>
      <c r="K468" s="181"/>
      <c r="L468" s="192">
        <f t="shared" si="0"/>
        <v>185.89999999999998</v>
      </c>
      <c r="M468" s="192">
        <f t="shared" si="1"/>
        <v>34.54</v>
      </c>
      <c r="N468" s="181"/>
      <c r="O468" s="181"/>
      <c r="P468" s="181"/>
    </row>
    <row r="469" spans="1:16">
      <c r="A469" s="85">
        <f>7+13</f>
        <v>20</v>
      </c>
      <c r="B469" s="189"/>
      <c r="C469" s="188" t="s">
        <v>71</v>
      </c>
      <c r="D469" s="190">
        <f>1.57</f>
        <v>1.57</v>
      </c>
      <c r="E469" s="191">
        <f t="shared" si="2"/>
        <v>1.77</v>
      </c>
      <c r="F469" s="88">
        <v>2.7789000000000001</v>
      </c>
      <c r="G469" s="88"/>
      <c r="H469" s="192">
        <v>10.02</v>
      </c>
      <c r="I469" s="192">
        <v>55.578000000000003</v>
      </c>
      <c r="J469" s="181"/>
      <c r="K469" s="181"/>
      <c r="L469" s="192">
        <f t="shared" si="0"/>
        <v>169</v>
      </c>
      <c r="M469" s="192">
        <f t="shared" si="1"/>
        <v>31.400000000000002</v>
      </c>
      <c r="N469" s="181"/>
      <c r="O469" s="181"/>
      <c r="P469" s="181"/>
    </row>
    <row r="470" spans="1:16">
      <c r="A470" s="85">
        <f>6</f>
        <v>6</v>
      </c>
      <c r="B470" s="168"/>
      <c r="C470" s="188" t="s">
        <v>72</v>
      </c>
      <c r="D470" s="190">
        <f>1.17</f>
        <v>1.17</v>
      </c>
      <c r="E470" s="191">
        <f>2.07</f>
        <v>2.0699999999999998</v>
      </c>
      <c r="F470" s="88">
        <v>2.4218999999999995</v>
      </c>
      <c r="G470" s="88"/>
      <c r="H470" s="192">
        <v>7.65</v>
      </c>
      <c r="I470" s="192">
        <v>14.531399999999998</v>
      </c>
      <c r="J470" s="181"/>
      <c r="K470" s="181"/>
      <c r="L470" s="192">
        <f t="shared" si="0"/>
        <v>38.880000000000003</v>
      </c>
      <c r="M470" s="192">
        <f t="shared" si="1"/>
        <v>7.02</v>
      </c>
      <c r="N470" s="181"/>
      <c r="O470" s="181"/>
      <c r="P470" s="181"/>
    </row>
    <row r="471" spans="1:16">
      <c r="A471" s="85">
        <f>3+1+1</f>
        <v>5</v>
      </c>
      <c r="B471" s="169"/>
      <c r="C471" s="188" t="s">
        <v>73</v>
      </c>
      <c r="D471" s="190">
        <f>1.17</f>
        <v>1.17</v>
      </c>
      <c r="E471" s="191">
        <f>2.07</f>
        <v>2.0699999999999998</v>
      </c>
      <c r="F471" s="88">
        <v>2.4218999999999995</v>
      </c>
      <c r="G471" s="88"/>
      <c r="H471" s="192">
        <v>7.65</v>
      </c>
      <c r="I471" s="192">
        <v>12.109499999999997</v>
      </c>
      <c r="J471" s="181"/>
      <c r="K471" s="181"/>
      <c r="L471" s="192">
        <f t="shared" si="0"/>
        <v>32.400000000000006</v>
      </c>
      <c r="M471" s="192">
        <f t="shared" si="1"/>
        <v>5.85</v>
      </c>
      <c r="N471" s="181"/>
      <c r="O471" s="181"/>
      <c r="P471" s="181"/>
    </row>
    <row r="472" spans="1:16">
      <c r="A472" s="91">
        <f>1</f>
        <v>1</v>
      </c>
      <c r="B472" s="169"/>
      <c r="C472" s="188" t="s">
        <v>74</v>
      </c>
      <c r="D472" s="190">
        <f>0.97</f>
        <v>0.97</v>
      </c>
      <c r="E472" s="191">
        <f>0.57</f>
        <v>0.56999999999999995</v>
      </c>
      <c r="F472" s="88">
        <v>0.55289999999999995</v>
      </c>
      <c r="G472" s="88"/>
      <c r="H472" s="192">
        <v>3.08</v>
      </c>
      <c r="I472" s="192">
        <v>0.55289999999999995</v>
      </c>
      <c r="J472" s="181"/>
      <c r="K472" s="181"/>
      <c r="L472" s="192">
        <f t="shared" si="0"/>
        <v>2.1100000000000003</v>
      </c>
      <c r="M472" s="192">
        <f t="shared" si="1"/>
        <v>0.97</v>
      </c>
      <c r="N472" s="181"/>
      <c r="O472" s="181"/>
      <c r="P472" s="181"/>
    </row>
    <row r="473" spans="1:16">
      <c r="A473" s="91">
        <f>1</f>
        <v>1</v>
      </c>
      <c r="B473" s="169"/>
      <c r="C473" s="188" t="s">
        <v>75</v>
      </c>
      <c r="D473" s="190">
        <f>2.62</f>
        <v>2.62</v>
      </c>
      <c r="E473" s="191">
        <f>2.07</f>
        <v>2.0699999999999998</v>
      </c>
      <c r="F473" s="88">
        <v>5.4234</v>
      </c>
      <c r="G473" s="88"/>
      <c r="H473" s="192">
        <v>14.07</v>
      </c>
      <c r="I473" s="192">
        <v>5.4234</v>
      </c>
      <c r="J473" s="181"/>
      <c r="K473" s="181"/>
      <c r="L473" s="192">
        <f t="shared" si="0"/>
        <v>11.45</v>
      </c>
      <c r="M473" s="192">
        <f t="shared" si="1"/>
        <v>2.62</v>
      </c>
      <c r="N473" s="181"/>
      <c r="O473" s="181"/>
      <c r="P473" s="181"/>
    </row>
    <row r="474" spans="1:16">
      <c r="A474" s="91">
        <f>10</f>
        <v>10</v>
      </c>
      <c r="B474" s="169"/>
      <c r="C474" s="188" t="s">
        <v>76</v>
      </c>
      <c r="D474" s="190">
        <f>0.77</f>
        <v>0.77</v>
      </c>
      <c r="E474" s="191">
        <f>3.37</f>
        <v>3.37</v>
      </c>
      <c r="F474" s="88">
        <v>2.5949</v>
      </c>
      <c r="G474" s="88"/>
      <c r="H474" s="192">
        <v>9.82</v>
      </c>
      <c r="I474" s="192">
        <v>25.948999999999998</v>
      </c>
      <c r="J474" s="181"/>
      <c r="K474" s="181"/>
      <c r="L474" s="192">
        <f t="shared" si="0"/>
        <v>90.5</v>
      </c>
      <c r="M474" s="192">
        <f t="shared" si="1"/>
        <v>7.7</v>
      </c>
      <c r="N474" s="181"/>
      <c r="O474" s="181"/>
      <c r="P474" s="181"/>
    </row>
    <row r="475" spans="1:16">
      <c r="A475" s="92">
        <f>3</f>
        <v>3</v>
      </c>
      <c r="B475" s="169"/>
      <c r="C475" s="188" t="s">
        <v>77</v>
      </c>
      <c r="D475" s="190">
        <f>2.62</f>
        <v>2.62</v>
      </c>
      <c r="E475" s="191">
        <f>1.65</f>
        <v>1.65</v>
      </c>
      <c r="F475" s="88">
        <v>4.3229999999999995</v>
      </c>
      <c r="G475" s="88"/>
      <c r="H475" s="192">
        <v>11.84</v>
      </c>
      <c r="I475" s="192">
        <v>12.968999999999998</v>
      </c>
      <c r="J475" s="181"/>
      <c r="K475" s="181"/>
      <c r="L475" s="192">
        <f t="shared" si="0"/>
        <v>27.659999999999997</v>
      </c>
      <c r="M475" s="192">
        <f t="shared" si="1"/>
        <v>7.86</v>
      </c>
      <c r="N475" s="181"/>
      <c r="O475" s="181"/>
      <c r="P475" s="181"/>
    </row>
    <row r="476" spans="1:16">
      <c r="A476" s="92">
        <f>1</f>
        <v>1</v>
      </c>
      <c r="B476" s="169"/>
      <c r="C476" s="188" t="s">
        <v>78</v>
      </c>
      <c r="D476" s="190">
        <f>0.92</f>
        <v>0.92</v>
      </c>
      <c r="E476" s="191">
        <f>1.87</f>
        <v>1.87</v>
      </c>
      <c r="F476" s="88">
        <v>1.7204000000000002</v>
      </c>
      <c r="G476" s="88"/>
      <c r="H476" s="192">
        <v>6.5</v>
      </c>
      <c r="I476" s="192">
        <v>1.7204000000000002</v>
      </c>
      <c r="J476" s="181"/>
      <c r="K476" s="181"/>
      <c r="L476" s="192">
        <f t="shared" si="0"/>
        <v>5.58</v>
      </c>
      <c r="M476" s="192">
        <f t="shared" si="1"/>
        <v>0.92</v>
      </c>
      <c r="N476" s="181"/>
      <c r="O476" s="181"/>
      <c r="P476" s="181"/>
    </row>
    <row r="477" spans="1:16">
      <c r="A477" s="92">
        <f>2</f>
        <v>2</v>
      </c>
      <c r="B477" s="169"/>
      <c r="C477" s="188" t="s">
        <v>79</v>
      </c>
      <c r="D477" s="190">
        <f>1.85</f>
        <v>1.85</v>
      </c>
      <c r="E477" s="191">
        <f>1.57</f>
        <v>1.57</v>
      </c>
      <c r="F477" s="88">
        <v>1.8592500000000001</v>
      </c>
      <c r="G477" s="88"/>
      <c r="H477" s="192">
        <v>8.3450000000000006</v>
      </c>
      <c r="I477" s="192">
        <v>3.7185000000000001</v>
      </c>
      <c r="J477" s="181"/>
      <c r="K477" s="181"/>
      <c r="L477" s="192">
        <f t="shared" si="0"/>
        <v>12.990000000000002</v>
      </c>
      <c r="M477" s="192">
        <f t="shared" si="1"/>
        <v>3.7</v>
      </c>
      <c r="N477" s="181"/>
      <c r="O477" s="181"/>
      <c r="P477" s="181"/>
    </row>
    <row r="478" spans="1:16">
      <c r="A478" s="93">
        <f>3</f>
        <v>3</v>
      </c>
      <c r="B478" s="169"/>
      <c r="C478" s="188" t="s">
        <v>80</v>
      </c>
      <c r="D478" s="190">
        <f>0.97</f>
        <v>0.97</v>
      </c>
      <c r="E478" s="191">
        <f>1.77</f>
        <v>1.77</v>
      </c>
      <c r="F478" s="88">
        <v>1.7168999999999999</v>
      </c>
      <c r="G478" s="88"/>
      <c r="H478" s="192">
        <v>5.48</v>
      </c>
      <c r="I478" s="192">
        <v>5.1506999999999996</v>
      </c>
      <c r="J478" s="181"/>
      <c r="K478" s="181"/>
      <c r="L478" s="192">
        <f t="shared" si="0"/>
        <v>13.530000000000001</v>
      </c>
      <c r="M478" s="192">
        <f t="shared" si="1"/>
        <v>2.91</v>
      </c>
      <c r="N478" s="181"/>
      <c r="O478" s="181"/>
      <c r="P478" s="181"/>
    </row>
    <row r="479" spans="1:16">
      <c r="A479" s="93">
        <f>3</f>
        <v>3</v>
      </c>
      <c r="C479" s="188" t="s">
        <v>68</v>
      </c>
      <c r="D479" s="190">
        <f>1.17</f>
        <v>1.17</v>
      </c>
      <c r="E479" s="191">
        <f>1.77</f>
        <v>1.77</v>
      </c>
      <c r="F479" s="88">
        <v>2.0709</v>
      </c>
      <c r="G479" s="88"/>
      <c r="H479" s="192">
        <v>5.88</v>
      </c>
      <c r="I479" s="192">
        <v>6.2126999999999999</v>
      </c>
      <c r="J479" s="181"/>
      <c r="K479" s="181"/>
      <c r="L479" s="192">
        <f t="shared" si="0"/>
        <v>14.129999999999999</v>
      </c>
      <c r="M479" s="192">
        <f t="shared" si="1"/>
        <v>3.51</v>
      </c>
      <c r="N479" s="181"/>
      <c r="O479" s="181"/>
      <c r="P479" s="181"/>
    </row>
    <row r="480" spans="1:16">
      <c r="A480" s="29"/>
      <c r="D480" s="29"/>
      <c r="E480" s="29"/>
      <c r="H480" s="29"/>
      <c r="I480" s="29"/>
      <c r="O480" s="181"/>
      <c r="P480" s="181"/>
    </row>
    <row r="481" spans="1:16">
      <c r="A481" s="83">
        <f>A461+A465+A468+A473</f>
        <v>25</v>
      </c>
      <c r="C481" s="188"/>
      <c r="D481" s="190"/>
      <c r="E481" s="191"/>
      <c r="F481" s="88"/>
      <c r="G481" s="88"/>
      <c r="H481" s="192">
        <v>1.135</v>
      </c>
      <c r="I481" s="192"/>
      <c r="J481" s="181"/>
      <c r="K481" s="181"/>
      <c r="L481" s="192"/>
      <c r="M481" s="192"/>
      <c r="N481" s="181"/>
      <c r="O481" s="181"/>
      <c r="P481" s="181"/>
    </row>
    <row r="482" spans="1:16">
      <c r="A482" s="28">
        <f>A462+A469</f>
        <v>21</v>
      </c>
      <c r="C482" s="188"/>
      <c r="D482" s="190"/>
      <c r="E482" s="191"/>
      <c r="F482" s="88"/>
      <c r="G482" s="88"/>
      <c r="H482" s="192"/>
      <c r="I482" s="192"/>
      <c r="J482" s="181"/>
      <c r="K482" s="181"/>
      <c r="L482" s="192"/>
      <c r="M482" s="192"/>
      <c r="N482" s="181"/>
      <c r="O482" s="181"/>
      <c r="P482" s="181"/>
    </row>
    <row r="483" spans="1:16">
      <c r="A483" s="183">
        <f>SUM(A484:A497)</f>
        <v>13</v>
      </c>
      <c r="C483" s="79" t="s">
        <v>81</v>
      </c>
      <c r="D483" s="190"/>
      <c r="E483" s="191"/>
      <c r="F483" s="88"/>
      <c r="G483" s="88"/>
      <c r="H483" s="192"/>
      <c r="I483" s="187">
        <v>123.65119999999999</v>
      </c>
      <c r="J483" s="181"/>
      <c r="K483" s="181"/>
      <c r="L483" s="187">
        <f>SUM(L484:L497)</f>
        <v>333.67</v>
      </c>
      <c r="M483" s="187">
        <f>SUM(M484:M497)</f>
        <v>25.910000000000004</v>
      </c>
      <c r="N483" s="181"/>
      <c r="O483" s="181"/>
      <c r="P483" s="181"/>
    </row>
    <row r="484" spans="1:16">
      <c r="A484" s="83"/>
      <c r="C484" s="79"/>
      <c r="D484" s="190"/>
      <c r="E484" s="191"/>
      <c r="F484" s="88"/>
      <c r="G484" s="88"/>
      <c r="H484" s="192"/>
      <c r="I484" s="187"/>
      <c r="J484" s="181"/>
      <c r="K484" s="181"/>
      <c r="L484" s="187"/>
      <c r="M484" s="187"/>
      <c r="N484" s="181"/>
      <c r="O484" s="181"/>
      <c r="P484" s="181"/>
    </row>
    <row r="485" spans="1:16">
      <c r="A485" s="83">
        <f>1</f>
        <v>1</v>
      </c>
      <c r="C485" s="188" t="s">
        <v>82</v>
      </c>
      <c r="D485" s="190">
        <f>2.53</f>
        <v>2.5299999999999998</v>
      </c>
      <c r="E485" s="191">
        <f>2.92</f>
        <v>2.92</v>
      </c>
      <c r="F485" s="88">
        <v>7.3875999999999991</v>
      </c>
      <c r="G485" s="88"/>
      <c r="H485" s="192">
        <v>21.41</v>
      </c>
      <c r="I485" s="192">
        <v>7.3875999999999991</v>
      </c>
      <c r="J485" s="181"/>
      <c r="K485" s="181"/>
      <c r="L485" s="192">
        <f t="shared" ref="L485:L496" si="3">A485*(H485-D485)</f>
        <v>18.88</v>
      </c>
      <c r="M485" s="192">
        <f t="shared" ref="M485:M496" si="4">A485*D485</f>
        <v>2.5299999999999998</v>
      </c>
      <c r="N485" s="181"/>
      <c r="O485" s="181"/>
      <c r="P485" s="181"/>
    </row>
    <row r="486" spans="1:16">
      <c r="A486" s="83">
        <f>1</f>
        <v>1</v>
      </c>
      <c r="C486" s="188" t="s">
        <v>83</v>
      </c>
      <c r="D486" s="190">
        <f>3.47</f>
        <v>3.47</v>
      </c>
      <c r="E486" s="191">
        <f>2.92</f>
        <v>2.92</v>
      </c>
      <c r="F486" s="88">
        <v>10.132400000000001</v>
      </c>
      <c r="G486" s="88"/>
      <c r="H486" s="192">
        <v>29.03</v>
      </c>
      <c r="I486" s="192">
        <v>10.132400000000001</v>
      </c>
      <c r="J486" s="181"/>
      <c r="K486" s="181"/>
      <c r="L486" s="192">
        <f t="shared" si="3"/>
        <v>25.560000000000002</v>
      </c>
      <c r="M486" s="192">
        <f t="shared" si="4"/>
        <v>3.47</v>
      </c>
      <c r="N486" s="181"/>
      <c r="O486" s="181"/>
      <c r="P486" s="181"/>
    </row>
    <row r="487" spans="1:16">
      <c r="A487" s="83">
        <f>1</f>
        <v>1</v>
      </c>
      <c r="B487" s="194"/>
      <c r="C487" s="188" t="s">
        <v>84</v>
      </c>
      <c r="D487" s="190">
        <f>1.12</f>
        <v>1.1200000000000001</v>
      </c>
      <c r="E487" s="191">
        <f>6.5</f>
        <v>6.5</v>
      </c>
      <c r="F487" s="88">
        <v>7.28</v>
      </c>
      <c r="G487" s="88"/>
      <c r="H487" s="192">
        <v>20.84</v>
      </c>
      <c r="I487" s="192">
        <v>7.28</v>
      </c>
      <c r="J487" s="181"/>
      <c r="K487" s="181"/>
      <c r="L487" s="192">
        <f t="shared" si="3"/>
        <v>19.72</v>
      </c>
      <c r="M487" s="192">
        <f t="shared" si="4"/>
        <v>1.1200000000000001</v>
      </c>
      <c r="N487" s="181"/>
      <c r="O487" s="181"/>
      <c r="P487" s="181"/>
    </row>
    <row r="488" spans="1:16">
      <c r="A488" s="83">
        <f>1</f>
        <v>1</v>
      </c>
      <c r="B488" s="167"/>
      <c r="C488" s="188" t="s">
        <v>85</v>
      </c>
      <c r="D488" s="190">
        <f>1.23</f>
        <v>1.23</v>
      </c>
      <c r="E488" s="191">
        <f>6.5</f>
        <v>6.5</v>
      </c>
      <c r="F488" s="88">
        <v>7.9950000000000001</v>
      </c>
      <c r="G488" s="88"/>
      <c r="H488" s="192">
        <v>22.84</v>
      </c>
      <c r="I488" s="192">
        <v>7.9950000000000001</v>
      </c>
      <c r="J488" s="181"/>
      <c r="K488" s="181"/>
      <c r="L488" s="192">
        <f t="shared" si="3"/>
        <v>21.61</v>
      </c>
      <c r="M488" s="192">
        <f t="shared" si="4"/>
        <v>1.23</v>
      </c>
      <c r="N488" s="181"/>
      <c r="O488" s="181"/>
      <c r="P488" s="181"/>
    </row>
    <row r="489" spans="1:16">
      <c r="A489" s="83">
        <f>1+1</f>
        <v>2</v>
      </c>
      <c r="C489" s="188" t="s">
        <v>86</v>
      </c>
      <c r="D489" s="190">
        <f>3.02</f>
        <v>3.02</v>
      </c>
      <c r="E489" s="191">
        <f>2.92</f>
        <v>2.92</v>
      </c>
      <c r="F489" s="88">
        <v>8.8184000000000005</v>
      </c>
      <c r="G489" s="88"/>
      <c r="H489" s="192">
        <v>26.78</v>
      </c>
      <c r="I489" s="192">
        <v>17.636800000000001</v>
      </c>
      <c r="J489" s="181"/>
      <c r="K489" s="181"/>
      <c r="L489" s="192">
        <f t="shared" si="3"/>
        <v>47.52</v>
      </c>
      <c r="M489" s="192">
        <f t="shared" si="4"/>
        <v>6.04</v>
      </c>
      <c r="N489" s="181"/>
      <c r="O489" s="181"/>
      <c r="P489" s="181"/>
    </row>
    <row r="490" spans="1:16">
      <c r="A490" s="83">
        <f>1</f>
        <v>1</v>
      </c>
      <c r="C490" s="188" t="s">
        <v>87</v>
      </c>
      <c r="D490" s="190">
        <f>2.3</f>
        <v>2.2999999999999998</v>
      </c>
      <c r="E490" s="191">
        <f>6.5</f>
        <v>6.5</v>
      </c>
      <c r="F490" s="88">
        <v>14.95</v>
      </c>
      <c r="G490" s="88"/>
      <c r="H490" s="192">
        <v>46.7</v>
      </c>
      <c r="I490" s="192">
        <v>14.95</v>
      </c>
      <c r="J490" s="181"/>
      <c r="K490" s="181"/>
      <c r="L490" s="192">
        <f t="shared" si="3"/>
        <v>44.400000000000006</v>
      </c>
      <c r="M490" s="192">
        <f t="shared" si="4"/>
        <v>2.2999999999999998</v>
      </c>
      <c r="N490" s="181"/>
      <c r="O490" s="181"/>
      <c r="P490" s="181"/>
    </row>
    <row r="491" spans="1:16">
      <c r="A491" s="83">
        <f>1</f>
        <v>1</v>
      </c>
      <c r="C491" s="188" t="s">
        <v>88</v>
      </c>
      <c r="D491" s="190">
        <f>0.97</f>
        <v>0.97</v>
      </c>
      <c r="E491" s="191">
        <f>3.37</f>
        <v>3.37</v>
      </c>
      <c r="F491" s="88">
        <v>3.2688999999999999</v>
      </c>
      <c r="G491" s="88"/>
      <c r="H491" s="192">
        <v>11.59</v>
      </c>
      <c r="I491" s="192">
        <v>3.2688999999999999</v>
      </c>
      <c r="J491" s="181"/>
      <c r="K491" s="181"/>
      <c r="L491" s="192">
        <f t="shared" si="3"/>
        <v>10.62</v>
      </c>
      <c r="M491" s="192">
        <f t="shared" si="4"/>
        <v>0.97</v>
      </c>
      <c r="N491" s="181"/>
      <c r="O491" s="181"/>
      <c r="P491" s="181"/>
    </row>
    <row r="492" spans="1:16">
      <c r="A492" s="83">
        <f>1</f>
        <v>1</v>
      </c>
      <c r="C492" s="188" t="s">
        <v>89</v>
      </c>
      <c r="D492" s="190">
        <f>1.1</f>
        <v>1.1000000000000001</v>
      </c>
      <c r="E492" s="191">
        <f>5.6</f>
        <v>5.6</v>
      </c>
      <c r="F492" s="88">
        <v>6.16</v>
      </c>
      <c r="G492" s="88"/>
      <c r="H492" s="192">
        <v>18.899999999999999</v>
      </c>
      <c r="I492" s="192">
        <v>6.16</v>
      </c>
      <c r="J492" s="181"/>
      <c r="K492" s="181"/>
      <c r="L492" s="192">
        <f t="shared" si="3"/>
        <v>17.799999999999997</v>
      </c>
      <c r="M492" s="192">
        <f t="shared" si="4"/>
        <v>1.1000000000000001</v>
      </c>
      <c r="N492" s="181"/>
      <c r="O492" s="181"/>
      <c r="P492" s="181"/>
    </row>
    <row r="493" spans="1:16">
      <c r="A493" s="83">
        <f>1</f>
        <v>1</v>
      </c>
      <c r="C493" s="188" t="s">
        <v>90</v>
      </c>
      <c r="D493" s="190">
        <f>2.3</f>
        <v>2.2999999999999998</v>
      </c>
      <c r="E493" s="191">
        <f>6.5</f>
        <v>6.5</v>
      </c>
      <c r="F493" s="88">
        <v>14.95</v>
      </c>
      <c r="G493" s="88"/>
      <c r="H493" s="192">
        <v>46.7</v>
      </c>
      <c r="I493" s="192">
        <v>14.95</v>
      </c>
      <c r="J493" s="181"/>
      <c r="K493" s="181"/>
      <c r="L493" s="192">
        <f t="shared" si="3"/>
        <v>44.400000000000006</v>
      </c>
      <c r="M493" s="192">
        <f t="shared" si="4"/>
        <v>2.2999999999999998</v>
      </c>
      <c r="N493" s="181"/>
      <c r="O493" s="181"/>
      <c r="P493" s="181"/>
    </row>
    <row r="494" spans="1:16">
      <c r="A494" s="83">
        <f>1</f>
        <v>1</v>
      </c>
      <c r="C494" s="188" t="s">
        <v>91</v>
      </c>
      <c r="D494" s="190">
        <f>0.7</f>
        <v>0.7</v>
      </c>
      <c r="E494" s="191">
        <f>6.1</f>
        <v>6.1</v>
      </c>
      <c r="F494" s="88">
        <v>4.2699999999999996</v>
      </c>
      <c r="G494" s="88"/>
      <c r="H494" s="192">
        <v>17.100000000000001</v>
      </c>
      <c r="I494" s="192">
        <v>4.2699999999999996</v>
      </c>
      <c r="J494" s="181"/>
      <c r="K494" s="181"/>
      <c r="L494" s="192">
        <f t="shared" si="3"/>
        <v>16.400000000000002</v>
      </c>
      <c r="M494" s="192">
        <f t="shared" si="4"/>
        <v>0.7</v>
      </c>
      <c r="N494" s="181"/>
      <c r="O494" s="181"/>
      <c r="P494" s="181"/>
    </row>
    <row r="495" spans="1:16">
      <c r="A495" s="83">
        <f>1</f>
        <v>1</v>
      </c>
      <c r="C495" s="188" t="s">
        <v>92</v>
      </c>
      <c r="D495" s="190">
        <f>3.05</f>
        <v>3.05</v>
      </c>
      <c r="E495" s="191">
        <f>7.05</f>
        <v>7.05</v>
      </c>
      <c r="F495" s="88">
        <v>21.502500000000001</v>
      </c>
      <c r="G495" s="88"/>
      <c r="H495" s="192">
        <v>49.55</v>
      </c>
      <c r="I495" s="192">
        <v>21.502500000000001</v>
      </c>
      <c r="J495" s="181"/>
      <c r="K495" s="181"/>
      <c r="L495" s="192">
        <f t="shared" si="3"/>
        <v>46.5</v>
      </c>
      <c r="M495" s="192">
        <f t="shared" si="4"/>
        <v>3.05</v>
      </c>
      <c r="N495" s="181"/>
      <c r="O495" s="181"/>
      <c r="P495" s="181"/>
    </row>
    <row r="496" spans="1:16">
      <c r="A496" s="83">
        <f>1</f>
        <v>1</v>
      </c>
      <c r="C496" s="188" t="s">
        <v>93</v>
      </c>
      <c r="D496" s="190">
        <f>1.1</f>
        <v>1.1000000000000001</v>
      </c>
      <c r="E496" s="191">
        <f>7.38</f>
        <v>7.38</v>
      </c>
      <c r="F496" s="88">
        <v>8.1180000000000003</v>
      </c>
      <c r="G496" s="88"/>
      <c r="H496" s="192">
        <v>21.36</v>
      </c>
      <c r="I496" s="192">
        <v>8.1180000000000003</v>
      </c>
      <c r="J496" s="181"/>
      <c r="K496" s="181"/>
      <c r="L496" s="192">
        <f t="shared" si="3"/>
        <v>20.259999999999998</v>
      </c>
      <c r="M496" s="192">
        <f t="shared" si="4"/>
        <v>1.1000000000000001</v>
      </c>
      <c r="N496" s="181"/>
      <c r="O496" s="181"/>
      <c r="P496" s="181"/>
    </row>
    <row r="497" spans="1:16">
      <c r="A497" s="195"/>
      <c r="C497" s="188"/>
      <c r="D497" s="190"/>
      <c r="E497" s="191"/>
      <c r="F497" s="88"/>
      <c r="G497" s="88"/>
      <c r="H497" s="192"/>
      <c r="I497" s="192"/>
      <c r="J497" s="181"/>
      <c r="K497" s="181"/>
      <c r="L497" s="192"/>
      <c r="M497" s="192"/>
      <c r="N497" s="181"/>
      <c r="O497" s="181"/>
      <c r="P497" s="181"/>
    </row>
    <row r="498" spans="1:16">
      <c r="A498" s="195"/>
      <c r="C498" s="188"/>
      <c r="D498" s="190"/>
      <c r="E498" s="191"/>
      <c r="F498" s="88"/>
      <c r="G498" s="88"/>
      <c r="H498" s="192"/>
      <c r="I498" s="192"/>
      <c r="J498" s="181"/>
      <c r="K498" s="181"/>
      <c r="L498" s="192"/>
      <c r="M498" s="192"/>
      <c r="N498" s="181"/>
      <c r="O498" s="181"/>
      <c r="P498" s="181"/>
    </row>
    <row r="499" spans="1:16">
      <c r="A499" s="183">
        <f>SUM(A500:A509)</f>
        <v>9</v>
      </c>
      <c r="C499" s="79" t="s">
        <v>94</v>
      </c>
      <c r="D499" s="190"/>
      <c r="E499" s="191"/>
      <c r="F499" s="88"/>
      <c r="G499" s="88"/>
      <c r="H499" s="192"/>
      <c r="I499" s="187">
        <v>29.242800000000003</v>
      </c>
      <c r="L499" s="187">
        <f>SUM(L501:L513)</f>
        <v>225.68</v>
      </c>
      <c r="M499" s="187">
        <f>SUM(M501:M513)</f>
        <v>48.45</v>
      </c>
      <c r="N499" s="181"/>
      <c r="O499" s="181"/>
      <c r="P499" s="181"/>
    </row>
    <row r="500" spans="1:16">
      <c r="A500" s="195"/>
      <c r="C500" s="79"/>
      <c r="D500" s="190"/>
      <c r="E500" s="191"/>
      <c r="F500" s="88"/>
      <c r="G500" s="88"/>
      <c r="H500" s="192"/>
      <c r="I500" s="187"/>
      <c r="L500" s="187"/>
      <c r="M500" s="187"/>
      <c r="N500" s="181"/>
      <c r="O500" s="181"/>
      <c r="P500" s="181"/>
    </row>
    <row r="501" spans="1:16">
      <c r="A501" s="95">
        <f>1</f>
        <v>1</v>
      </c>
      <c r="C501" s="96" t="s">
        <v>95</v>
      </c>
      <c r="D501" s="191">
        <f>1.57</f>
        <v>1.57</v>
      </c>
      <c r="E501" s="190">
        <f>2.57</f>
        <v>2.57</v>
      </c>
      <c r="F501" s="88">
        <v>4.0348999999999995</v>
      </c>
      <c r="G501" s="88"/>
      <c r="H501" s="192">
        <v>12.42</v>
      </c>
      <c r="I501" s="192">
        <v>4.0348999999999995</v>
      </c>
      <c r="L501" s="192">
        <f t="shared" ref="L501:L508" si="5">A501*(H501-E501)</f>
        <v>9.85</v>
      </c>
      <c r="M501" s="192">
        <f t="shared" ref="M501:M508" si="6">A501*E501</f>
        <v>2.57</v>
      </c>
      <c r="N501" s="181"/>
      <c r="O501" s="181"/>
      <c r="P501" s="181"/>
    </row>
    <row r="502" spans="1:16">
      <c r="A502" s="95">
        <f>1</f>
        <v>1</v>
      </c>
      <c r="C502" s="96" t="s">
        <v>96</v>
      </c>
      <c r="D502" s="191">
        <f>0.98</f>
        <v>0.98</v>
      </c>
      <c r="E502" s="190">
        <f>2.57</f>
        <v>2.57</v>
      </c>
      <c r="F502" s="88">
        <v>2.5185999999999997</v>
      </c>
      <c r="G502" s="88"/>
      <c r="H502" s="192">
        <v>8.08</v>
      </c>
      <c r="I502" s="192">
        <v>2.5185999999999997</v>
      </c>
      <c r="L502" s="192">
        <f t="shared" si="5"/>
        <v>5.51</v>
      </c>
      <c r="M502" s="192">
        <f t="shared" si="6"/>
        <v>2.57</v>
      </c>
      <c r="N502" s="181"/>
      <c r="O502" s="181"/>
      <c r="P502" s="181"/>
    </row>
    <row r="503" spans="1:16">
      <c r="A503" s="95">
        <f>1</f>
        <v>1</v>
      </c>
      <c r="C503" s="96" t="s">
        <v>97</v>
      </c>
      <c r="D503" s="191">
        <f>1.77</f>
        <v>1.77</v>
      </c>
      <c r="E503" s="190">
        <f>2.57</f>
        <v>2.57</v>
      </c>
      <c r="F503" s="88">
        <v>4.5488999999999997</v>
      </c>
      <c r="G503" s="88"/>
      <c r="H503" s="192">
        <v>10.45</v>
      </c>
      <c r="I503" s="192">
        <v>4.5488999999999997</v>
      </c>
      <c r="J503" s="181"/>
      <c r="K503" s="181"/>
      <c r="L503" s="192">
        <f t="shared" si="5"/>
        <v>7.879999999999999</v>
      </c>
      <c r="M503" s="192">
        <f t="shared" si="6"/>
        <v>2.57</v>
      </c>
      <c r="N503" s="181"/>
      <c r="O503" s="181"/>
      <c r="P503" s="181"/>
    </row>
    <row r="504" spans="1:16">
      <c r="A504" s="95">
        <f>1</f>
        <v>1</v>
      </c>
      <c r="C504" s="96" t="s">
        <v>98</v>
      </c>
      <c r="D504" s="191">
        <f>1.37</f>
        <v>1.37</v>
      </c>
      <c r="E504" s="190">
        <f>2.07</f>
        <v>2.0699999999999998</v>
      </c>
      <c r="F504" s="88">
        <v>2.8359000000000001</v>
      </c>
      <c r="G504" s="88"/>
      <c r="H504" s="192">
        <v>10.32</v>
      </c>
      <c r="I504" s="192">
        <v>2.8359000000000001</v>
      </c>
      <c r="J504" s="181"/>
      <c r="K504" s="181"/>
      <c r="L504" s="192">
        <f t="shared" si="5"/>
        <v>8.25</v>
      </c>
      <c r="M504" s="192">
        <f t="shared" si="6"/>
        <v>2.0699999999999998</v>
      </c>
      <c r="N504" s="181"/>
      <c r="O504" s="181"/>
      <c r="P504" s="181"/>
    </row>
    <row r="505" spans="1:16">
      <c r="A505" s="95">
        <f>1+1</f>
        <v>2</v>
      </c>
      <c r="C505" s="96" t="s">
        <v>99</v>
      </c>
      <c r="D505" s="191">
        <f>0.97</f>
        <v>0.97</v>
      </c>
      <c r="E505" s="190">
        <f>2.07</f>
        <v>2.0699999999999998</v>
      </c>
      <c r="F505" s="88">
        <v>2.0078999999999998</v>
      </c>
      <c r="G505" s="88"/>
      <c r="H505" s="192">
        <v>6.08</v>
      </c>
      <c r="I505" s="192">
        <v>4.0157999999999996</v>
      </c>
      <c r="J505" s="181"/>
      <c r="K505" s="181"/>
      <c r="L505" s="192">
        <f t="shared" si="5"/>
        <v>8.02</v>
      </c>
      <c r="M505" s="192">
        <f t="shared" si="6"/>
        <v>4.1399999999999997</v>
      </c>
      <c r="N505" s="181"/>
      <c r="O505" s="181"/>
      <c r="P505" s="181"/>
    </row>
    <row r="506" spans="1:16">
      <c r="A506" s="95">
        <f>1</f>
        <v>1</v>
      </c>
      <c r="C506" s="96" t="s">
        <v>100</v>
      </c>
      <c r="D506" s="191">
        <f>1.77</f>
        <v>1.77</v>
      </c>
      <c r="E506" s="190">
        <f>2.07</f>
        <v>2.0699999999999998</v>
      </c>
      <c r="F506" s="88">
        <v>3.6638999999999999</v>
      </c>
      <c r="G506" s="88"/>
      <c r="H506" s="192">
        <v>7.68</v>
      </c>
      <c r="I506" s="192">
        <v>3.6638999999999999</v>
      </c>
      <c r="J506" s="181"/>
      <c r="K506" s="181"/>
      <c r="L506" s="192">
        <f t="shared" si="5"/>
        <v>5.6099999999999994</v>
      </c>
      <c r="M506" s="192">
        <f t="shared" si="6"/>
        <v>2.0699999999999998</v>
      </c>
      <c r="N506" s="181"/>
      <c r="O506" s="181"/>
      <c r="P506" s="181"/>
    </row>
    <row r="507" spans="1:16">
      <c r="A507" s="95">
        <f>1</f>
        <v>1</v>
      </c>
      <c r="C507" s="96" t="s">
        <v>101</v>
      </c>
      <c r="D507" s="191">
        <f>0.97</f>
        <v>0.97</v>
      </c>
      <c r="E507" s="190">
        <f>2.07</f>
        <v>2.0699999999999998</v>
      </c>
      <c r="F507" s="88">
        <v>2.0078999999999998</v>
      </c>
      <c r="G507" s="88"/>
      <c r="H507" s="192">
        <v>7.05</v>
      </c>
      <c r="I507" s="192">
        <v>2.0078999999999998</v>
      </c>
      <c r="L507" s="192">
        <f t="shared" si="5"/>
        <v>4.9800000000000004</v>
      </c>
      <c r="M507" s="192">
        <f t="shared" si="6"/>
        <v>2.0699999999999998</v>
      </c>
      <c r="N507" s="181"/>
      <c r="O507" s="181"/>
      <c r="P507" s="181"/>
    </row>
    <row r="508" spans="1:16">
      <c r="A508" s="95">
        <f>1</f>
        <v>1</v>
      </c>
      <c r="C508" s="96" t="s">
        <v>102</v>
      </c>
      <c r="D508" s="191">
        <f>2.37</f>
        <v>2.37</v>
      </c>
      <c r="E508" s="191">
        <f>2.37</f>
        <v>2.37</v>
      </c>
      <c r="F508" s="88">
        <v>5.6169000000000002</v>
      </c>
      <c r="G508" s="88"/>
      <c r="H508" s="192">
        <v>9.48</v>
      </c>
      <c r="I508" s="192">
        <v>5.6169000000000002</v>
      </c>
      <c r="J508" s="181"/>
      <c r="K508" s="181"/>
      <c r="L508" s="192">
        <f t="shared" si="5"/>
        <v>7.11</v>
      </c>
      <c r="M508" s="192">
        <f t="shared" si="6"/>
        <v>2.37</v>
      </c>
      <c r="N508" s="181"/>
      <c r="O508" s="181"/>
      <c r="P508" s="181"/>
    </row>
    <row r="509" spans="1:16">
      <c r="A509" s="95"/>
      <c r="B509" s="175"/>
      <c r="C509" s="96"/>
      <c r="D509" s="191"/>
      <c r="E509" s="190"/>
      <c r="F509" s="88"/>
      <c r="G509" s="88"/>
      <c r="H509" s="192"/>
      <c r="I509" s="192"/>
      <c r="J509" s="181"/>
      <c r="K509" s="181"/>
      <c r="L509" s="192"/>
      <c r="M509" s="192"/>
      <c r="N509" s="181"/>
      <c r="O509" s="181"/>
      <c r="P509" s="181"/>
    </row>
    <row r="510" spans="1:16">
      <c r="A510" s="95"/>
      <c r="C510" s="96"/>
      <c r="D510" s="191"/>
      <c r="E510" s="190"/>
      <c r="F510" s="88"/>
      <c r="G510" s="88"/>
      <c r="H510" s="192"/>
      <c r="I510" s="192"/>
      <c r="J510" s="181"/>
      <c r="K510" s="181"/>
      <c r="L510" s="192"/>
      <c r="M510" s="192"/>
      <c r="N510" s="181"/>
      <c r="O510" s="181"/>
      <c r="P510" s="181"/>
    </row>
    <row r="511" spans="1:16">
      <c r="A511" s="183">
        <f>SUM(A512:A520)</f>
        <v>12</v>
      </c>
      <c r="C511" s="97" t="s">
        <v>103</v>
      </c>
      <c r="D511" s="190"/>
      <c r="E511" s="191"/>
      <c r="F511" s="88"/>
      <c r="G511" s="88"/>
      <c r="H511" s="192"/>
      <c r="I511" s="187">
        <v>61.446000000000005</v>
      </c>
      <c r="J511" s="181"/>
      <c r="K511" s="181"/>
      <c r="L511" s="187">
        <f>SUM(L512:L525)</f>
        <v>148.47999999999999</v>
      </c>
      <c r="M511" s="187">
        <f>SUM(M512:M525)</f>
        <v>25.25</v>
      </c>
      <c r="N511" s="181"/>
      <c r="O511" s="181"/>
      <c r="P511" s="181"/>
    </row>
    <row r="512" spans="1:16">
      <c r="A512" s="83"/>
      <c r="C512" s="79"/>
      <c r="D512" s="190"/>
      <c r="E512" s="191"/>
      <c r="F512" s="88"/>
      <c r="G512" s="88"/>
      <c r="H512" s="192"/>
      <c r="I512" s="187"/>
      <c r="J512" s="181"/>
      <c r="K512" s="181"/>
      <c r="L512" s="187"/>
      <c r="M512" s="187"/>
      <c r="N512" s="181"/>
      <c r="O512" s="181"/>
      <c r="P512" s="181"/>
    </row>
    <row r="513" spans="1:16">
      <c r="A513" s="83">
        <f>1</f>
        <v>1</v>
      </c>
      <c r="C513" s="188" t="s">
        <v>104</v>
      </c>
      <c r="D513" s="190">
        <f>2.77</f>
        <v>2.77</v>
      </c>
      <c r="E513" s="191">
        <f>2.92</f>
        <v>2.92</v>
      </c>
      <c r="F513" s="88">
        <v>8.0884</v>
      </c>
      <c r="G513" s="88"/>
      <c r="H513" s="192">
        <v>22.76</v>
      </c>
      <c r="I513" s="192">
        <v>8.0884</v>
      </c>
      <c r="J513" s="181"/>
      <c r="K513" s="181"/>
      <c r="L513" s="192">
        <f t="shared" ref="L513:L519" si="7">A513*(H513-D513)</f>
        <v>19.990000000000002</v>
      </c>
      <c r="M513" s="192">
        <f t="shared" ref="M513:M519" si="8">A513*D513</f>
        <v>2.77</v>
      </c>
      <c r="N513" s="181"/>
      <c r="O513" s="181"/>
      <c r="P513" s="181"/>
    </row>
    <row r="514" spans="1:16">
      <c r="A514" s="83">
        <f>1</f>
        <v>1</v>
      </c>
      <c r="C514" s="188" t="s">
        <v>105</v>
      </c>
      <c r="D514" s="190">
        <f>2.965</f>
        <v>2.9649999999999999</v>
      </c>
      <c r="E514" s="191">
        <f>2.67</f>
        <v>2.67</v>
      </c>
      <c r="F514" s="88">
        <v>7.9165499999999991</v>
      </c>
      <c r="G514" s="88"/>
      <c r="H514" s="192">
        <v>22.54</v>
      </c>
      <c r="I514" s="192">
        <v>7.9165499999999991</v>
      </c>
      <c r="J514" s="181"/>
      <c r="K514" s="181"/>
      <c r="L514" s="192">
        <f t="shared" si="7"/>
        <v>19.574999999999999</v>
      </c>
      <c r="M514" s="192">
        <f t="shared" si="8"/>
        <v>2.9649999999999999</v>
      </c>
      <c r="N514" s="181"/>
      <c r="O514" s="181"/>
    </row>
    <row r="515" spans="1:16">
      <c r="A515" s="83">
        <f>1</f>
        <v>1</v>
      </c>
      <c r="C515" s="188" t="s">
        <v>106</v>
      </c>
      <c r="D515" s="190">
        <f>2.855</f>
        <v>2.855</v>
      </c>
      <c r="E515" s="191">
        <f>2.67</f>
        <v>2.67</v>
      </c>
      <c r="F515" s="88">
        <v>7.6228499999999997</v>
      </c>
      <c r="G515" s="88"/>
      <c r="H515" s="192">
        <v>19.43</v>
      </c>
      <c r="I515" s="192">
        <v>7.6228499999999997</v>
      </c>
      <c r="J515" s="181"/>
      <c r="K515" s="181"/>
      <c r="L515" s="192">
        <f t="shared" si="7"/>
        <v>16.574999999999999</v>
      </c>
      <c r="M515" s="192">
        <f t="shared" si="8"/>
        <v>2.855</v>
      </c>
      <c r="N515" s="181"/>
      <c r="O515" s="181"/>
    </row>
    <row r="516" spans="1:16">
      <c r="A516" s="83">
        <f>3</f>
        <v>3</v>
      </c>
      <c r="C516" s="188" t="s">
        <v>107</v>
      </c>
      <c r="D516" s="190">
        <f>2.1</f>
        <v>2.1</v>
      </c>
      <c r="E516" s="191">
        <f>2.27</f>
        <v>2.27</v>
      </c>
      <c r="F516" s="88">
        <v>4.7670000000000003</v>
      </c>
      <c r="G516" s="88"/>
      <c r="H516" s="192">
        <v>13.11</v>
      </c>
      <c r="I516" s="192">
        <v>14.301000000000002</v>
      </c>
      <c r="J516" s="181"/>
      <c r="K516" s="181"/>
      <c r="L516" s="192">
        <f t="shared" si="7"/>
        <v>33.03</v>
      </c>
      <c r="M516" s="192">
        <f t="shared" si="8"/>
        <v>6.3000000000000007</v>
      </c>
      <c r="N516" s="181"/>
      <c r="O516" s="181"/>
    </row>
    <row r="517" spans="1:16">
      <c r="A517" s="83">
        <f>3</f>
        <v>3</v>
      </c>
      <c r="C517" s="188" t="s">
        <v>108</v>
      </c>
      <c r="D517" s="190">
        <f>2.01</f>
        <v>2.0099999999999998</v>
      </c>
      <c r="E517" s="191">
        <f>2.27</f>
        <v>2.27</v>
      </c>
      <c r="F517" s="88">
        <v>4.5626999999999995</v>
      </c>
      <c r="G517" s="88"/>
      <c r="H517" s="192">
        <v>12.84</v>
      </c>
      <c r="I517" s="192">
        <v>13.688099999999999</v>
      </c>
      <c r="J517" s="181"/>
      <c r="K517" s="181"/>
      <c r="L517" s="192">
        <f t="shared" si="7"/>
        <v>32.49</v>
      </c>
      <c r="M517" s="192">
        <f t="shared" si="8"/>
        <v>6.0299999999999994</v>
      </c>
      <c r="N517" s="181"/>
      <c r="O517" s="181"/>
    </row>
    <row r="518" spans="1:16">
      <c r="A518" s="83">
        <f>2</f>
        <v>2</v>
      </c>
      <c r="C518" s="188" t="s">
        <v>109</v>
      </c>
      <c r="D518" s="190">
        <f>1.665</f>
        <v>1.665</v>
      </c>
      <c r="E518" s="191">
        <f>2.27</f>
        <v>2.27</v>
      </c>
      <c r="F518" s="88">
        <v>3.77955</v>
      </c>
      <c r="G518" s="88"/>
      <c r="H518" s="192">
        <v>11.805</v>
      </c>
      <c r="I518" s="192">
        <v>7.5590999999999999</v>
      </c>
      <c r="J518" s="181"/>
      <c r="K518" s="181"/>
      <c r="L518" s="192">
        <f t="shared" si="7"/>
        <v>20.28</v>
      </c>
      <c r="M518" s="192">
        <f t="shared" si="8"/>
        <v>3.33</v>
      </c>
      <c r="N518" s="181"/>
      <c r="O518" s="181"/>
    </row>
    <row r="519" spans="1:16">
      <c r="A519" s="83">
        <f>1</f>
        <v>1</v>
      </c>
      <c r="B519" s="175"/>
      <c r="C519" s="188" t="s">
        <v>110</v>
      </c>
      <c r="D519" s="190">
        <f>1</f>
        <v>1</v>
      </c>
      <c r="E519" s="191">
        <f>2.27</f>
        <v>2.27</v>
      </c>
      <c r="F519" s="88">
        <v>2.27</v>
      </c>
      <c r="G519" s="88"/>
      <c r="H519" s="192">
        <v>7.54</v>
      </c>
      <c r="I519" s="192">
        <v>2.27</v>
      </c>
      <c r="J519" s="181"/>
      <c r="K519" s="181"/>
      <c r="L519" s="192">
        <f t="shared" si="7"/>
        <v>6.54</v>
      </c>
      <c r="M519" s="192">
        <f t="shared" si="8"/>
        <v>1</v>
      </c>
      <c r="N519" s="181"/>
      <c r="O519" s="181"/>
    </row>
    <row r="528" spans="1:16">
      <c r="A528" s="98"/>
      <c r="C528" s="99" t="s">
        <v>111</v>
      </c>
      <c r="D528" s="100" t="s">
        <v>112</v>
      </c>
      <c r="E528" s="28">
        <f>48</f>
        <v>48</v>
      </c>
      <c r="H528" s="101"/>
      <c r="J528" s="102"/>
      <c r="K528" s="102"/>
      <c r="L528" s="72">
        <f>120</f>
        <v>120</v>
      </c>
      <c r="M528" s="103" t="str">
        <f>IF(F528&gt;0,+F528*E528,CHAR(32))</f>
        <v xml:space="preserve"> </v>
      </c>
      <c r="N528" s="72">
        <f>IF(E528&gt;0,+E528*I528,CHAR(32))</f>
        <v>0</v>
      </c>
      <c r="O528" s="72"/>
      <c r="P528" s="72">
        <f>IF(L528&gt;0,+L528*E528,CHAR(32))</f>
        <v>5760</v>
      </c>
    </row>
    <row r="529" spans="1:16">
      <c r="A529" s="70"/>
      <c r="B529" s="175"/>
      <c r="C529" s="104" t="s">
        <v>113</v>
      </c>
      <c r="D529" s="100" t="s">
        <v>114</v>
      </c>
      <c r="E529" s="28">
        <f>2</f>
        <v>2</v>
      </c>
      <c r="H529" s="105" t="e">
        <f>NA()</f>
        <v>#N/A</v>
      </c>
      <c r="I529" s="31">
        <v>1016.949152542373</v>
      </c>
      <c r="J529" s="101" t="e">
        <f>NA()</f>
        <v>#N/A</v>
      </c>
      <c r="K529" s="101"/>
      <c r="L529" s="106"/>
      <c r="M529" s="106"/>
      <c r="N529" s="72">
        <f>IF(E529&gt;0,+E529*I529,CHAR(32))</f>
        <v>2033.898305084746</v>
      </c>
      <c r="O529" s="72"/>
      <c r="P529" s="72" t="str">
        <f>IF(L529&gt;0,+L529*E529,CHAR(32))</f>
        <v xml:space="preserve"> </v>
      </c>
    </row>
    <row r="531" spans="1:16">
      <c r="C531" s="28" t="s">
        <v>115</v>
      </c>
    </row>
    <row r="532" spans="1:16">
      <c r="C532" s="107" t="s">
        <v>116</v>
      </c>
      <c r="G532" s="72"/>
      <c r="I532" s="29"/>
      <c r="M532" s="72"/>
      <c r="N532" s="72"/>
      <c r="O532" s="72"/>
    </row>
    <row r="533" spans="1:16">
      <c r="A533" s="28" t="s">
        <v>117</v>
      </c>
      <c r="C533" s="28" t="s">
        <v>118</v>
      </c>
      <c r="D533" s="108">
        <f>3</f>
        <v>3</v>
      </c>
      <c r="E533" s="73">
        <f>3</f>
        <v>3</v>
      </c>
      <c r="F533" s="72">
        <v>8.1</v>
      </c>
      <c r="G533" s="31">
        <v>12</v>
      </c>
      <c r="H533" s="31" t="e">
        <f>NA()</f>
        <v>#N/A</v>
      </c>
      <c r="I533" s="31" t="e">
        <f>NA()</f>
        <v>#N/A</v>
      </c>
      <c r="J533" s="109" t="e">
        <f>NA()</f>
        <v>#N/A</v>
      </c>
      <c r="L533" s="72"/>
      <c r="M533" s="72" t="e">
        <f t="shared" ref="M533:M546" si="9">H533-(I533+J533+K533+L533)</f>
        <v>#N/A</v>
      </c>
      <c r="O533" s="72"/>
    </row>
    <row r="534" spans="1:16">
      <c r="A534" s="28" t="s">
        <v>119</v>
      </c>
      <c r="C534" s="28" t="s">
        <v>120</v>
      </c>
      <c r="D534" s="108">
        <f>14</f>
        <v>14</v>
      </c>
      <c r="E534" s="73">
        <f>11</f>
        <v>11</v>
      </c>
      <c r="F534" s="72">
        <v>104.7</v>
      </c>
      <c r="G534" s="31">
        <v>50</v>
      </c>
      <c r="H534" s="31" t="e">
        <f>NA()</f>
        <v>#N/A</v>
      </c>
      <c r="I534" s="31" t="e">
        <f>NA()</f>
        <v>#N/A</v>
      </c>
      <c r="J534" s="109" t="e">
        <f>NA()</f>
        <v>#N/A</v>
      </c>
      <c r="M534" s="72" t="e">
        <f t="shared" si="9"/>
        <v>#N/A</v>
      </c>
    </row>
    <row r="535" spans="1:16">
      <c r="A535" s="28" t="s">
        <v>121</v>
      </c>
      <c r="C535" s="110" t="s">
        <v>122</v>
      </c>
      <c r="D535" s="111">
        <f>2.85</f>
        <v>2.85</v>
      </c>
      <c r="E535" s="112">
        <f>2.4</f>
        <v>2.4</v>
      </c>
      <c r="F535" s="113">
        <v>6.85</v>
      </c>
      <c r="G535" s="81">
        <v>10.5</v>
      </c>
      <c r="H535" s="111">
        <v>88.2</v>
      </c>
      <c r="I535" s="111">
        <v>23.94</v>
      </c>
      <c r="J535" s="111">
        <v>64.260000000000005</v>
      </c>
      <c r="M535" s="72">
        <f t="shared" si="9"/>
        <v>0</v>
      </c>
    </row>
    <row r="536" spans="1:16">
      <c r="A536" s="28" t="s">
        <v>123</v>
      </c>
      <c r="C536" s="28" t="s">
        <v>124</v>
      </c>
      <c r="D536" s="31">
        <f>4.2</f>
        <v>4.2</v>
      </c>
      <c r="E536" s="73">
        <f>3.45</f>
        <v>3.45</v>
      </c>
      <c r="F536" s="72">
        <v>14.5</v>
      </c>
      <c r="G536" s="31">
        <v>15.3</v>
      </c>
      <c r="H536" s="31" t="e">
        <f>NA()</f>
        <v>#N/A</v>
      </c>
      <c r="I536" s="31" t="e">
        <f>NA()</f>
        <v>#N/A</v>
      </c>
      <c r="J536" s="31" t="e">
        <f>NA()</f>
        <v>#N/A</v>
      </c>
      <c r="K536" s="114" t="e">
        <f>H536-(I536+J536)</f>
        <v>#N/A</v>
      </c>
      <c r="L536" s="72"/>
      <c r="M536" s="72" t="e">
        <f t="shared" si="9"/>
        <v>#N/A</v>
      </c>
      <c r="O536" s="72"/>
    </row>
    <row r="537" spans="1:16">
      <c r="A537" s="28" t="s">
        <v>125</v>
      </c>
      <c r="C537" s="28" t="s">
        <v>126</v>
      </c>
      <c r="D537" s="31">
        <f>F537/E537</f>
        <v>10.555555555555555</v>
      </c>
      <c r="E537" s="73">
        <f>1.8</f>
        <v>1.8</v>
      </c>
      <c r="F537" s="72">
        <v>19</v>
      </c>
      <c r="G537" s="31">
        <v>24.711111111111112</v>
      </c>
      <c r="H537" s="31" t="e">
        <f>NA()</f>
        <v>#N/A</v>
      </c>
      <c r="J537" s="31" t="e">
        <f>NA()</f>
        <v>#N/A</v>
      </c>
      <c r="L537" s="115"/>
      <c r="M537" s="72" t="e">
        <f t="shared" si="9"/>
        <v>#N/A</v>
      </c>
      <c r="O537" s="72"/>
    </row>
    <row r="538" spans="1:16">
      <c r="A538" s="28" t="s">
        <v>127</v>
      </c>
      <c r="C538" s="28" t="s">
        <v>126</v>
      </c>
      <c r="D538" s="31">
        <f>F538/E538</f>
        <v>17</v>
      </c>
      <c r="E538" s="73">
        <f>1.8</f>
        <v>1.8</v>
      </c>
      <c r="F538" s="72">
        <v>30.6</v>
      </c>
      <c r="G538" s="31">
        <v>37.6</v>
      </c>
      <c r="H538" s="31" t="e">
        <f>NA()</f>
        <v>#N/A</v>
      </c>
      <c r="J538" s="31" t="e">
        <f>NA()</f>
        <v>#N/A</v>
      </c>
      <c r="L538" s="115"/>
      <c r="M538" s="72" t="e">
        <f t="shared" si="9"/>
        <v>#N/A</v>
      </c>
      <c r="O538" s="72"/>
    </row>
    <row r="539" spans="1:16">
      <c r="A539" s="28" t="s">
        <v>128</v>
      </c>
      <c r="C539" s="28" t="s">
        <v>118</v>
      </c>
      <c r="D539" s="31">
        <f>2</f>
        <v>2</v>
      </c>
      <c r="E539" s="73">
        <f>1.25</f>
        <v>1.25</v>
      </c>
      <c r="F539" s="72">
        <v>2.4500000000000002</v>
      </c>
      <c r="G539" s="31">
        <v>6.5</v>
      </c>
      <c r="H539" s="31" t="e">
        <f>NA()</f>
        <v>#N/A</v>
      </c>
      <c r="I539" s="31" t="e">
        <f>NA()</f>
        <v>#N/A</v>
      </c>
      <c r="J539" s="31" t="e">
        <f>NA()</f>
        <v>#N/A</v>
      </c>
      <c r="L539" s="115"/>
      <c r="M539" s="72" t="e">
        <f t="shared" si="9"/>
        <v>#N/A</v>
      </c>
      <c r="O539" s="72"/>
    </row>
    <row r="540" spans="1:16">
      <c r="A540" s="28" t="s">
        <v>129</v>
      </c>
      <c r="C540" s="116" t="s">
        <v>130</v>
      </c>
      <c r="D540" s="117">
        <f>1.4</f>
        <v>1.4</v>
      </c>
      <c r="E540" s="118">
        <f>1.3</f>
        <v>1.3</v>
      </c>
      <c r="F540" s="72">
        <v>1.8</v>
      </c>
      <c r="G540" s="31">
        <v>5.4</v>
      </c>
      <c r="H540" s="117" t="e">
        <f>NA()</f>
        <v>#N/A</v>
      </c>
      <c r="I540" s="117"/>
      <c r="J540" s="117" t="e">
        <f>NA()</f>
        <v>#N/A</v>
      </c>
      <c r="L540" s="117" t="e">
        <f>H540-(I540+J540)</f>
        <v>#N/A</v>
      </c>
      <c r="M540" s="72" t="e">
        <f t="shared" si="9"/>
        <v>#N/A</v>
      </c>
      <c r="O540" s="72"/>
    </row>
    <row r="541" spans="1:16">
      <c r="A541" s="28" t="s">
        <v>131</v>
      </c>
      <c r="C541" s="116" t="s">
        <v>132</v>
      </c>
      <c r="D541" s="117">
        <f>1.4</f>
        <v>1.4</v>
      </c>
      <c r="E541" s="118">
        <f>1.35</f>
        <v>1.35</v>
      </c>
      <c r="F541" s="72">
        <v>1.9</v>
      </c>
      <c r="G541" s="31">
        <v>5.5</v>
      </c>
      <c r="H541" s="117" t="e">
        <f>NA()</f>
        <v>#N/A</v>
      </c>
      <c r="I541" s="117"/>
      <c r="J541" s="117" t="e">
        <f>NA()</f>
        <v>#N/A</v>
      </c>
      <c r="L541" s="117" t="e">
        <f>H541-(I541+J541)</f>
        <v>#N/A</v>
      </c>
      <c r="M541" s="72" t="e">
        <f t="shared" si="9"/>
        <v>#N/A</v>
      </c>
    </row>
    <row r="542" spans="1:16">
      <c r="A542" s="28" t="s">
        <v>133</v>
      </c>
      <c r="C542" s="28" t="s">
        <v>126</v>
      </c>
      <c r="D542" s="29">
        <f>F542/E542</f>
        <v>15.65</v>
      </c>
      <c r="E542" s="31">
        <f>2</f>
        <v>2</v>
      </c>
      <c r="F542" s="29">
        <v>31.3</v>
      </c>
      <c r="G542" s="29">
        <v>35.299999999999997</v>
      </c>
      <c r="H542" s="31" t="e">
        <f>NA()</f>
        <v>#N/A</v>
      </c>
      <c r="I542" s="29"/>
      <c r="J542" s="31" t="e">
        <f>NA()</f>
        <v>#N/A</v>
      </c>
      <c r="M542" s="72" t="e">
        <f t="shared" si="9"/>
        <v>#N/A</v>
      </c>
    </row>
    <row r="543" spans="1:16">
      <c r="A543" s="28" t="s">
        <v>134</v>
      </c>
      <c r="C543" s="28" t="s">
        <v>126</v>
      </c>
      <c r="D543" s="31">
        <f>F543/E543</f>
        <v>15.839285714285715</v>
      </c>
      <c r="E543" s="31">
        <f>2.8</f>
        <v>2.8</v>
      </c>
      <c r="F543" s="31">
        <v>44.35</v>
      </c>
      <c r="G543" s="29">
        <v>37.278571428571432</v>
      </c>
      <c r="H543" s="29" t="e">
        <f>NA()</f>
        <v>#N/A</v>
      </c>
      <c r="I543" s="29"/>
      <c r="J543" s="29" t="e">
        <f>NA()</f>
        <v>#N/A</v>
      </c>
      <c r="M543" s="72" t="e">
        <f t="shared" si="9"/>
        <v>#N/A</v>
      </c>
      <c r="O543" s="72"/>
    </row>
    <row r="544" spans="1:16">
      <c r="A544" s="28" t="s">
        <v>135</v>
      </c>
      <c r="C544" s="28" t="s">
        <v>136</v>
      </c>
      <c r="D544" s="31">
        <f>6.35</f>
        <v>6.35</v>
      </c>
      <c r="E544" s="31">
        <f>2.5</f>
        <v>2.5</v>
      </c>
      <c r="F544" s="31">
        <v>14.9</v>
      </c>
      <c r="G544" s="29">
        <v>17.7</v>
      </c>
      <c r="H544" s="29" t="e">
        <f>NA()</f>
        <v>#N/A</v>
      </c>
      <c r="I544" s="29" t="e">
        <f>NA()</f>
        <v>#N/A</v>
      </c>
      <c r="J544" s="29" t="e">
        <f>NA()</f>
        <v>#N/A</v>
      </c>
      <c r="M544" s="72" t="e">
        <f t="shared" si="9"/>
        <v>#N/A</v>
      </c>
    </row>
    <row r="545" spans="1:15">
      <c r="A545" s="28" t="s">
        <v>137</v>
      </c>
      <c r="C545" s="28" t="s">
        <v>118</v>
      </c>
      <c r="D545" s="31">
        <f>2</f>
        <v>2</v>
      </c>
      <c r="E545" s="73">
        <f>1.35</f>
        <v>1.35</v>
      </c>
      <c r="F545" s="72">
        <v>2.25</v>
      </c>
      <c r="G545" s="31">
        <v>6.7</v>
      </c>
      <c r="H545" s="31" t="e">
        <f>NA()</f>
        <v>#N/A</v>
      </c>
      <c r="I545" s="31" t="e">
        <f>NA()</f>
        <v>#N/A</v>
      </c>
      <c r="J545" s="31" t="e">
        <f>NA()</f>
        <v>#N/A</v>
      </c>
      <c r="L545" s="115"/>
      <c r="M545" s="72" t="e">
        <f t="shared" si="9"/>
        <v>#N/A</v>
      </c>
    </row>
    <row r="546" spans="1:15">
      <c r="A546" s="28" t="s">
        <v>138</v>
      </c>
      <c r="C546" s="28" t="s">
        <v>118</v>
      </c>
      <c r="D546" s="31">
        <f>1.5</f>
        <v>1.5</v>
      </c>
      <c r="E546" s="73">
        <f>1.125</f>
        <v>1.125</v>
      </c>
      <c r="F546" s="72">
        <v>1.3</v>
      </c>
      <c r="G546" s="29">
        <v>5.25</v>
      </c>
      <c r="H546" s="29" t="e">
        <f>NA()</f>
        <v>#N/A</v>
      </c>
      <c r="I546" s="31" t="e">
        <f>NA()</f>
        <v>#N/A</v>
      </c>
      <c r="J546" s="29" t="e">
        <f>NA()</f>
        <v>#N/A</v>
      </c>
      <c r="L546" s="115"/>
      <c r="M546" s="72" t="e">
        <f t="shared" si="9"/>
        <v>#N/A</v>
      </c>
    </row>
    <row r="547" spans="1:15">
      <c r="C547" s="28"/>
      <c r="D547" s="31"/>
      <c r="E547" s="73"/>
      <c r="F547" s="72"/>
      <c r="H547" s="29"/>
      <c r="L547" s="115"/>
      <c r="M547" s="72"/>
    </row>
    <row r="548" spans="1:15">
      <c r="B548" s="175"/>
      <c r="C548" s="28"/>
      <c r="D548" s="31"/>
      <c r="E548" s="73"/>
      <c r="H548" s="29"/>
      <c r="L548" s="115"/>
      <c r="M548" s="72"/>
    </row>
    <row r="549" spans="1:15">
      <c r="B549" s="175"/>
      <c r="C549" s="28"/>
      <c r="D549" s="31"/>
      <c r="E549" s="73"/>
      <c r="F549" s="72"/>
      <c r="H549" s="29"/>
      <c r="L549" s="115"/>
      <c r="M549" s="72"/>
    </row>
    <row r="550" spans="1:15">
      <c r="A550" s="29"/>
      <c r="C550" s="107" t="s">
        <v>139</v>
      </c>
      <c r="D550" s="31"/>
      <c r="E550" s="119"/>
      <c r="F550" s="72"/>
      <c r="H550" s="29"/>
      <c r="I550" s="29"/>
      <c r="L550" s="115"/>
      <c r="M550" s="72">
        <f t="shared" ref="M550:M555" si="10">H550-(I550+J550+K550+L550)</f>
        <v>0</v>
      </c>
    </row>
    <row r="551" spans="1:15">
      <c r="A551" s="28" t="s">
        <v>140</v>
      </c>
      <c r="C551" s="28" t="s">
        <v>141</v>
      </c>
      <c r="D551" s="31">
        <f>4</f>
        <v>4</v>
      </c>
      <c r="E551" s="29">
        <f>2.875</f>
        <v>2.875</v>
      </c>
      <c r="F551" s="31">
        <v>11.3</v>
      </c>
      <c r="G551" s="29">
        <v>13.75</v>
      </c>
      <c r="H551" s="29" t="e">
        <f>NA()</f>
        <v>#N/A</v>
      </c>
      <c r="I551" s="31" t="e">
        <f>NA()</f>
        <v>#N/A</v>
      </c>
      <c r="J551" s="31" t="e">
        <f>NA()</f>
        <v>#N/A</v>
      </c>
      <c r="K551" s="114" t="e">
        <f>H551-(I551+J551)</f>
        <v>#N/A</v>
      </c>
      <c r="M551" s="72" t="e">
        <f t="shared" si="10"/>
        <v>#N/A</v>
      </c>
      <c r="O551" s="72"/>
    </row>
    <row r="552" spans="1:15">
      <c r="A552" s="28" t="s">
        <v>142</v>
      </c>
      <c r="C552" s="28" t="s">
        <v>143</v>
      </c>
      <c r="D552" s="31">
        <f>4</f>
        <v>4</v>
      </c>
      <c r="E552" s="31">
        <f>3</f>
        <v>3</v>
      </c>
      <c r="F552" s="31">
        <v>12</v>
      </c>
      <c r="G552" s="29">
        <v>14</v>
      </c>
      <c r="H552" s="29" t="e">
        <f>NA()</f>
        <v>#N/A</v>
      </c>
      <c r="I552" s="31" t="e">
        <f>NA()</f>
        <v>#N/A</v>
      </c>
      <c r="J552" s="31" t="e">
        <f>NA()</f>
        <v>#N/A</v>
      </c>
      <c r="K552" s="114" t="e">
        <f>H552-(I552+J552)</f>
        <v>#N/A</v>
      </c>
      <c r="M552" s="72" t="e">
        <f t="shared" si="10"/>
        <v>#N/A</v>
      </c>
      <c r="O552" s="72"/>
    </row>
    <row r="553" spans="1:15">
      <c r="A553" s="28" t="s">
        <v>144</v>
      </c>
      <c r="C553" s="28" t="s">
        <v>145</v>
      </c>
      <c r="D553" s="31">
        <f>5</f>
        <v>5</v>
      </c>
      <c r="E553" s="31">
        <f>4.8</f>
        <v>4.8</v>
      </c>
      <c r="F553" s="31">
        <v>22.5</v>
      </c>
      <c r="G553" s="31">
        <v>19.600000000000001</v>
      </c>
      <c r="H553" s="29" t="e">
        <f>NA()</f>
        <v>#N/A</v>
      </c>
      <c r="I553" s="31" t="e">
        <f>NA()</f>
        <v>#N/A</v>
      </c>
      <c r="J553" s="31" t="e">
        <f>NA()</f>
        <v>#N/A</v>
      </c>
      <c r="K553" s="114" t="e">
        <f>H553-(I553+J553)</f>
        <v>#N/A</v>
      </c>
      <c r="M553" s="72" t="e">
        <f t="shared" si="10"/>
        <v>#N/A</v>
      </c>
      <c r="O553" s="72"/>
    </row>
    <row r="554" spans="1:15">
      <c r="A554" s="28" t="s">
        <v>146</v>
      </c>
      <c r="C554" s="28" t="s">
        <v>147</v>
      </c>
      <c r="D554" s="31">
        <f>4.8</f>
        <v>4.8</v>
      </c>
      <c r="E554" s="31">
        <f>2.425</f>
        <v>2.4249999999999998</v>
      </c>
      <c r="F554" s="31">
        <v>10.6</v>
      </c>
      <c r="G554" s="29">
        <v>14.45</v>
      </c>
      <c r="H554" s="29" t="e">
        <f>NA()</f>
        <v>#N/A</v>
      </c>
      <c r="I554" s="29"/>
      <c r="J554" s="31" t="e">
        <f>NA()</f>
        <v>#N/A</v>
      </c>
      <c r="M554" s="72" t="e">
        <f t="shared" si="10"/>
        <v>#N/A</v>
      </c>
      <c r="O554" s="72"/>
    </row>
    <row r="555" spans="1:15">
      <c r="A555" s="28" t="s">
        <v>148</v>
      </c>
      <c r="B555" s="175"/>
      <c r="C555" s="28" t="s">
        <v>149</v>
      </c>
      <c r="D555" s="31">
        <f>7.55</f>
        <v>7.55</v>
      </c>
      <c r="E555" s="31">
        <f>4.8</f>
        <v>4.8</v>
      </c>
      <c r="F555" s="31">
        <v>34</v>
      </c>
      <c r="G555" s="31">
        <v>24.7</v>
      </c>
      <c r="H555" s="31" t="e">
        <f>NA()</f>
        <v>#N/A</v>
      </c>
      <c r="I555" s="31" t="e">
        <f>NA()</f>
        <v>#N/A</v>
      </c>
      <c r="J555" s="31" t="e">
        <f>NA()</f>
        <v>#N/A</v>
      </c>
      <c r="M555" s="72" t="e">
        <f t="shared" si="10"/>
        <v>#N/A</v>
      </c>
    </row>
    <row r="556" spans="1:15">
      <c r="B556" s="175"/>
      <c r="C556" s="28"/>
      <c r="D556" s="31"/>
      <c r="E556" s="31"/>
      <c r="F556" s="31"/>
      <c r="G556" s="31"/>
      <c r="J556" s="31"/>
      <c r="M556" s="72"/>
    </row>
    <row r="557" spans="1:15">
      <c r="B557" s="175"/>
      <c r="C557" s="28"/>
      <c r="D557" s="31"/>
      <c r="E557" s="31"/>
      <c r="F557" s="31"/>
      <c r="G557" s="31"/>
      <c r="J557" s="31"/>
      <c r="M557" s="72"/>
    </row>
    <row r="558" spans="1:15">
      <c r="B558" s="175"/>
      <c r="C558" s="28"/>
      <c r="D558" s="31"/>
      <c r="E558" s="31"/>
      <c r="J558" s="31"/>
      <c r="M558" s="72"/>
    </row>
    <row r="559" spans="1:15">
      <c r="B559" s="175"/>
      <c r="C559" s="28"/>
      <c r="D559" s="31"/>
      <c r="E559" s="31"/>
      <c r="F559" s="31"/>
      <c r="G559" s="31"/>
      <c r="J559" s="31"/>
      <c r="M559" s="72"/>
    </row>
    <row r="560" spans="1:15">
      <c r="A560" s="29"/>
      <c r="C560" s="107" t="s">
        <v>150</v>
      </c>
      <c r="D560" s="29"/>
      <c r="E560" s="31"/>
      <c r="G560" s="31"/>
      <c r="H560" s="29"/>
      <c r="I560" s="29"/>
      <c r="M560" s="72">
        <f>H560-(I560+J560+K560+L560)</f>
        <v>0</v>
      </c>
    </row>
    <row r="561" spans="1:15">
      <c r="A561" s="28" t="s">
        <v>151</v>
      </c>
      <c r="C561" s="120" t="s">
        <v>152</v>
      </c>
      <c r="D561" s="115">
        <f>6.3</f>
        <v>6.3</v>
      </c>
      <c r="E561" s="115">
        <f>2.9</f>
        <v>2.9</v>
      </c>
      <c r="F561" s="31">
        <v>18.149999999999999</v>
      </c>
      <c r="G561" s="29">
        <v>18.399999999999999</v>
      </c>
      <c r="H561" s="121" t="e">
        <f>NA()</f>
        <v>#N/A</v>
      </c>
      <c r="I561" s="115" t="e">
        <f>NA()</f>
        <v>#N/A</v>
      </c>
      <c r="J561" s="115" t="e">
        <f>NA()</f>
        <v>#N/A</v>
      </c>
      <c r="K561" s="115" t="e">
        <f>H561-(I561+J561)</f>
        <v>#N/A</v>
      </c>
      <c r="M561" s="72" t="e">
        <f>H561-(I561+J561+K561+L561)</f>
        <v>#N/A</v>
      </c>
      <c r="O561" s="72"/>
    </row>
    <row r="562" spans="1:15">
      <c r="A562" s="28" t="s">
        <v>153</v>
      </c>
      <c r="C562" s="28" t="s">
        <v>154</v>
      </c>
      <c r="D562" s="31">
        <f>3.3</f>
        <v>3.3</v>
      </c>
      <c r="E562" s="73">
        <f>3</f>
        <v>3</v>
      </c>
      <c r="F562" s="72">
        <v>10</v>
      </c>
      <c r="G562" s="31">
        <v>12.6</v>
      </c>
      <c r="H562" s="31" t="e">
        <f>NA()</f>
        <v>#N/A</v>
      </c>
      <c r="I562" s="31" t="e">
        <f>NA()</f>
        <v>#N/A</v>
      </c>
      <c r="J562" s="31" t="e">
        <f>NA()</f>
        <v>#N/A</v>
      </c>
      <c r="K562" s="114" t="e">
        <f>H562-(I562+J562)</f>
        <v>#N/A</v>
      </c>
      <c r="M562" s="72" t="e">
        <f>H562-(I562+J562+K562+L562)</f>
        <v>#N/A</v>
      </c>
    </row>
    <row r="563" spans="1:15">
      <c r="A563" s="28" t="s">
        <v>155</v>
      </c>
      <c r="C563" s="116" t="s">
        <v>132</v>
      </c>
      <c r="D563" s="117">
        <f>2.75</f>
        <v>2.75</v>
      </c>
      <c r="E563" s="122">
        <f>2.225</f>
        <v>2.2250000000000001</v>
      </c>
      <c r="F563" s="72">
        <v>6.15</v>
      </c>
      <c r="G563" s="31">
        <v>9.9499999999999993</v>
      </c>
      <c r="H563" s="117" t="e">
        <f>NA()</f>
        <v>#N/A</v>
      </c>
      <c r="I563" s="117"/>
      <c r="J563" s="117" t="e">
        <f>NA()</f>
        <v>#N/A</v>
      </c>
      <c r="L563" s="117" t="e">
        <f>H563-(I563+J563)</f>
        <v>#N/A</v>
      </c>
      <c r="M563" s="72" t="e">
        <f>H563-(I563+J563+K563+L563)</f>
        <v>#N/A</v>
      </c>
      <c r="O563" s="72"/>
    </row>
    <row r="564" spans="1:15">
      <c r="A564" s="28" t="s">
        <v>156</v>
      </c>
      <c r="C564" s="116" t="s">
        <v>157</v>
      </c>
      <c r="D564" s="117">
        <f>4</f>
        <v>4</v>
      </c>
      <c r="E564" s="118">
        <f>2.75</f>
        <v>2.75</v>
      </c>
      <c r="F564" s="72">
        <v>11.9</v>
      </c>
      <c r="G564" s="31">
        <v>13.5</v>
      </c>
      <c r="H564" s="117" t="e">
        <f>NA()</f>
        <v>#N/A</v>
      </c>
      <c r="I564" s="117" t="e">
        <f>NA()</f>
        <v>#N/A</v>
      </c>
      <c r="J564" s="117" t="e">
        <f>NA()</f>
        <v>#N/A</v>
      </c>
      <c r="K564" s="114"/>
      <c r="L564" s="117" t="e">
        <f>H564-(I564+J564)</f>
        <v>#N/A</v>
      </c>
      <c r="M564" s="72"/>
      <c r="O564" s="72"/>
    </row>
    <row r="565" spans="1:15">
      <c r="A565" s="28" t="s">
        <v>158</v>
      </c>
      <c r="C565" s="116" t="s">
        <v>159</v>
      </c>
      <c r="D565" s="117">
        <f>6.3</f>
        <v>6.3</v>
      </c>
      <c r="E565" s="117">
        <f>2.9</f>
        <v>2.9</v>
      </c>
      <c r="F565" s="72">
        <v>18.399999999999999</v>
      </c>
      <c r="G565" s="31">
        <v>18.399999999999999</v>
      </c>
      <c r="H565" s="117" t="e">
        <f>NA()</f>
        <v>#N/A</v>
      </c>
      <c r="I565" s="117" t="e">
        <f>NA()</f>
        <v>#N/A</v>
      </c>
      <c r="J565" s="117" t="e">
        <f>NA()</f>
        <v>#N/A</v>
      </c>
      <c r="K565" s="114"/>
      <c r="L565" s="117" t="e">
        <f>H565-(I565+J565)</f>
        <v>#N/A</v>
      </c>
      <c r="M565" s="72"/>
    </row>
    <row r="566" spans="1:15">
      <c r="A566" s="28" t="s">
        <v>160</v>
      </c>
      <c r="C566" s="28" t="s">
        <v>161</v>
      </c>
      <c r="D566" s="108">
        <f>6.3</f>
        <v>6.3</v>
      </c>
      <c r="E566" s="73">
        <f>3</f>
        <v>3</v>
      </c>
      <c r="F566" s="72">
        <v>13.4</v>
      </c>
      <c r="G566" s="31">
        <v>18.600000000000001</v>
      </c>
      <c r="H566" s="31" t="e">
        <f>NA()</f>
        <v>#N/A</v>
      </c>
      <c r="I566" s="31" t="e">
        <f>NA()</f>
        <v>#N/A</v>
      </c>
      <c r="J566" s="31" t="e">
        <f>NA()</f>
        <v>#N/A</v>
      </c>
      <c r="K566" s="114" t="e">
        <f>H566-(I566+J566)</f>
        <v>#N/A</v>
      </c>
      <c r="L566" s="115"/>
      <c r="M566" s="72" t="e">
        <f>H566-(I566+J566+K566+L566)</f>
        <v>#N/A</v>
      </c>
      <c r="O566" s="72"/>
    </row>
    <row r="567" spans="1:15">
      <c r="A567" s="28" t="s">
        <v>162</v>
      </c>
      <c r="C567" s="116" t="s">
        <v>163</v>
      </c>
      <c r="D567" s="117">
        <f>2.2</f>
        <v>2.2000000000000002</v>
      </c>
      <c r="E567" s="118">
        <f>1.35</f>
        <v>1.35</v>
      </c>
      <c r="F567" s="72">
        <v>3</v>
      </c>
      <c r="G567" s="31">
        <v>7.1</v>
      </c>
      <c r="H567" s="117" t="e">
        <f>NA()</f>
        <v>#N/A</v>
      </c>
      <c r="I567" s="117"/>
      <c r="J567" s="117" t="e">
        <f>NA()</f>
        <v>#N/A</v>
      </c>
      <c r="L567" s="117" t="e">
        <f>H567-(I567+J567)</f>
        <v>#N/A</v>
      </c>
      <c r="M567" s="72" t="e">
        <f>H567-(I567+J567+K567+L567)</f>
        <v>#N/A</v>
      </c>
      <c r="O567" s="117"/>
    </row>
    <row r="568" spans="1:15">
      <c r="A568" s="28" t="s">
        <v>164</v>
      </c>
      <c r="C568" s="116" t="s">
        <v>165</v>
      </c>
      <c r="D568" s="117">
        <f>1.35</f>
        <v>1.35</v>
      </c>
      <c r="E568" s="118">
        <f>0.85</f>
        <v>0.85</v>
      </c>
      <c r="F568" s="72">
        <v>1.1499999999999999</v>
      </c>
      <c r="G568" s="29">
        <v>4.4000000000000004</v>
      </c>
      <c r="H568" s="117" t="e">
        <f>NA()</f>
        <v>#N/A</v>
      </c>
      <c r="I568" s="117"/>
      <c r="J568" s="117" t="e">
        <f>NA()</f>
        <v>#N/A</v>
      </c>
      <c r="L568" s="117" t="e">
        <f>H568-(I568+J568)</f>
        <v>#N/A</v>
      </c>
      <c r="M568" s="72" t="e">
        <f>H568-(I568+J568+K568+L568)</f>
        <v>#N/A</v>
      </c>
      <c r="O568" s="72"/>
    </row>
    <row r="569" spans="1:15">
      <c r="C569" s="116"/>
      <c r="D569" s="117"/>
      <c r="E569" s="118"/>
      <c r="F569" s="72"/>
      <c r="H569" s="117"/>
      <c r="I569" s="117"/>
      <c r="J569" s="117"/>
      <c r="L569" s="117"/>
      <c r="M569" s="72"/>
      <c r="O569" s="72"/>
    </row>
    <row r="570" spans="1:15">
      <c r="A570" s="29"/>
      <c r="C570" s="107" t="s">
        <v>166</v>
      </c>
      <c r="D570" s="117"/>
      <c r="E570" s="118"/>
      <c r="F570" s="72"/>
      <c r="G570" s="31"/>
      <c r="H570" s="117"/>
      <c r="I570" s="29"/>
      <c r="J570" s="117"/>
      <c r="L570" s="117"/>
      <c r="M570" s="72">
        <f t="shared" ref="M570:M597" si="11">H570-(I570+J570+K570+L570)</f>
        <v>0</v>
      </c>
      <c r="O570" s="117"/>
    </row>
    <row r="571" spans="1:15">
      <c r="A571" s="28" t="s">
        <v>167</v>
      </c>
      <c r="C571" s="28" t="s">
        <v>168</v>
      </c>
      <c r="D571" s="108">
        <f>6.3</f>
        <v>6.3</v>
      </c>
      <c r="E571" s="73">
        <f>4.5</f>
        <v>4.5</v>
      </c>
      <c r="F571" s="72">
        <v>19.75</v>
      </c>
      <c r="G571" s="31">
        <v>21.6</v>
      </c>
      <c r="H571" s="31" t="e">
        <f>NA()</f>
        <v>#N/A</v>
      </c>
      <c r="I571" s="31" t="e">
        <f>NA()</f>
        <v>#N/A</v>
      </c>
      <c r="J571" s="31" t="e">
        <f>NA()</f>
        <v>#N/A</v>
      </c>
      <c r="K571" s="114" t="e">
        <f>H571-(I571+J571)</f>
        <v>#N/A</v>
      </c>
      <c r="M571" s="72" t="e">
        <f t="shared" si="11"/>
        <v>#N/A</v>
      </c>
    </row>
    <row r="572" spans="1:15">
      <c r="A572" s="28" t="s">
        <v>169</v>
      </c>
      <c r="C572" s="116" t="s">
        <v>170</v>
      </c>
      <c r="D572" s="117">
        <f>F572/E572</f>
        <v>2.9999999999999996</v>
      </c>
      <c r="E572" s="117">
        <f>2.7</f>
        <v>2.7</v>
      </c>
      <c r="F572" s="31">
        <v>8.1</v>
      </c>
      <c r="G572" s="29">
        <v>11.4</v>
      </c>
      <c r="H572" s="117" t="e">
        <f>NA()</f>
        <v>#N/A</v>
      </c>
      <c r="I572" s="117"/>
      <c r="J572" s="117" t="e">
        <f>NA()</f>
        <v>#N/A</v>
      </c>
      <c r="L572" s="117" t="e">
        <f>H572-(I572+J572)</f>
        <v>#N/A</v>
      </c>
      <c r="M572" s="72" t="e">
        <f t="shared" si="11"/>
        <v>#N/A</v>
      </c>
    </row>
    <row r="573" spans="1:15">
      <c r="A573" s="28" t="s">
        <v>171</v>
      </c>
      <c r="C573" s="28" t="s">
        <v>172</v>
      </c>
      <c r="D573" s="108">
        <f>2.7</f>
        <v>2.7</v>
      </c>
      <c r="E573" s="73">
        <f>2.5</f>
        <v>2.5</v>
      </c>
      <c r="F573" s="72">
        <v>6.75</v>
      </c>
      <c r="G573" s="31">
        <v>10.4</v>
      </c>
      <c r="H573" s="31" t="e">
        <f>NA()</f>
        <v>#N/A</v>
      </c>
      <c r="J573" s="31" t="e">
        <f>NA()</f>
        <v>#N/A</v>
      </c>
      <c r="K573" s="114" t="e">
        <f>H573-(I573+J573)</f>
        <v>#N/A</v>
      </c>
      <c r="L573" s="72"/>
      <c r="M573" s="72" t="e">
        <f t="shared" si="11"/>
        <v>#N/A</v>
      </c>
      <c r="O573" s="72"/>
    </row>
    <row r="574" spans="1:15">
      <c r="A574" s="28" t="s">
        <v>173</v>
      </c>
      <c r="C574" s="28" t="s">
        <v>174</v>
      </c>
      <c r="D574" s="108">
        <f>6.3</f>
        <v>6.3</v>
      </c>
      <c r="E574" s="73">
        <f>4.5</f>
        <v>4.5</v>
      </c>
      <c r="F574" s="72">
        <v>21.6</v>
      </c>
      <c r="G574" s="31">
        <v>21.6</v>
      </c>
      <c r="H574" s="31" t="e">
        <f>NA()</f>
        <v>#N/A</v>
      </c>
      <c r="I574" s="31" t="e">
        <f>NA()</f>
        <v>#N/A</v>
      </c>
      <c r="J574" s="31" t="e">
        <f>NA()</f>
        <v>#N/A</v>
      </c>
      <c r="K574" s="114" t="e">
        <f>H574-(I574+J574)</f>
        <v>#N/A</v>
      </c>
      <c r="L574" s="72"/>
      <c r="M574" s="72" t="e">
        <f t="shared" si="11"/>
        <v>#N/A</v>
      </c>
      <c r="O574" s="72"/>
    </row>
    <row r="575" spans="1:15">
      <c r="A575" s="28" t="s">
        <v>175</v>
      </c>
      <c r="C575" s="28" t="s">
        <v>176</v>
      </c>
      <c r="D575" s="108">
        <f>4.5</f>
        <v>4.5</v>
      </c>
      <c r="E575" s="73">
        <f>2.7</f>
        <v>2.7</v>
      </c>
      <c r="F575" s="72">
        <v>12.15</v>
      </c>
      <c r="G575" s="31">
        <v>14.4</v>
      </c>
      <c r="H575" s="31" t="e">
        <f>NA()</f>
        <v>#N/A</v>
      </c>
      <c r="I575" s="31" t="e">
        <f>NA()</f>
        <v>#N/A</v>
      </c>
      <c r="J575" s="31" t="e">
        <f>NA()</f>
        <v>#N/A</v>
      </c>
      <c r="K575" s="114" t="e">
        <f>H575-(I575+J575)</f>
        <v>#N/A</v>
      </c>
      <c r="L575" s="72"/>
      <c r="M575" s="72" t="e">
        <f t="shared" si="11"/>
        <v>#N/A</v>
      </c>
      <c r="O575" s="72"/>
    </row>
    <row r="576" spans="1:15">
      <c r="A576" s="28" t="s">
        <v>177</v>
      </c>
      <c r="C576" s="28" t="s">
        <v>178</v>
      </c>
      <c r="D576" s="108">
        <f>3.5</f>
        <v>3.5</v>
      </c>
      <c r="E576" s="73">
        <f>1.8</f>
        <v>1.8</v>
      </c>
      <c r="F576" s="72">
        <v>5.9</v>
      </c>
      <c r="G576" s="31">
        <v>10.6</v>
      </c>
      <c r="H576" s="31" t="e">
        <f>NA()</f>
        <v>#N/A</v>
      </c>
      <c r="J576" s="31"/>
      <c r="K576" s="114" t="e">
        <f>H576-(I576+J576)</f>
        <v>#N/A</v>
      </c>
      <c r="L576" s="72"/>
      <c r="M576" s="72" t="e">
        <f t="shared" si="11"/>
        <v>#N/A</v>
      </c>
      <c r="O576" s="72"/>
    </row>
    <row r="577" spans="1:15">
      <c r="A577" s="28" t="s">
        <v>179</v>
      </c>
      <c r="C577" s="116" t="s">
        <v>180</v>
      </c>
      <c r="D577" s="117">
        <f>1.65</f>
        <v>1.65</v>
      </c>
      <c r="E577" s="118">
        <f>1.4</f>
        <v>1.4</v>
      </c>
      <c r="F577" s="72">
        <v>2.2999999999999998</v>
      </c>
      <c r="G577" s="31">
        <v>6.1</v>
      </c>
      <c r="H577" s="117" t="e">
        <f>NA()</f>
        <v>#N/A</v>
      </c>
      <c r="I577" s="29"/>
      <c r="J577" s="117" t="e">
        <f>NA()</f>
        <v>#N/A</v>
      </c>
      <c r="L577" s="117" t="e">
        <f>H577-(I577+J577)</f>
        <v>#N/A</v>
      </c>
      <c r="M577" s="72" t="e">
        <f t="shared" si="11"/>
        <v>#N/A</v>
      </c>
      <c r="O577" s="117"/>
    </row>
    <row r="578" spans="1:15">
      <c r="A578" s="28" t="s">
        <v>181</v>
      </c>
      <c r="C578" s="116" t="s">
        <v>132</v>
      </c>
      <c r="D578" s="117">
        <f>1.55</f>
        <v>1.55</v>
      </c>
      <c r="E578" s="118">
        <f>1.4</f>
        <v>1.4</v>
      </c>
      <c r="F578" s="72">
        <v>2.15</v>
      </c>
      <c r="G578" s="31">
        <v>5.9</v>
      </c>
      <c r="H578" s="117" t="e">
        <f>NA()</f>
        <v>#N/A</v>
      </c>
      <c r="I578" s="29"/>
      <c r="J578" s="117" t="e">
        <f>NA()</f>
        <v>#N/A</v>
      </c>
      <c r="L578" s="117" t="e">
        <f>H578-(I578+J578)</f>
        <v>#N/A</v>
      </c>
      <c r="M578" s="72" t="e">
        <f t="shared" si="11"/>
        <v>#N/A</v>
      </c>
      <c r="O578" s="117"/>
    </row>
    <row r="579" spans="1:15">
      <c r="A579" s="28" t="s">
        <v>182</v>
      </c>
      <c r="B579" s="175"/>
      <c r="C579" s="28" t="s">
        <v>183</v>
      </c>
      <c r="D579" s="108">
        <f>6.3</f>
        <v>6.3</v>
      </c>
      <c r="E579" s="73">
        <f>4.5</f>
        <v>4.5</v>
      </c>
      <c r="F579" s="72">
        <v>22</v>
      </c>
      <c r="G579" s="31">
        <v>21.6</v>
      </c>
      <c r="H579" s="31" t="e">
        <f>NA()</f>
        <v>#N/A</v>
      </c>
      <c r="I579" s="31" t="e">
        <f>NA()</f>
        <v>#N/A</v>
      </c>
      <c r="J579" s="31" t="e">
        <f>NA()</f>
        <v>#N/A</v>
      </c>
      <c r="K579" s="114" t="e">
        <f>H579-(I579+J579)</f>
        <v>#N/A</v>
      </c>
      <c r="L579" s="72"/>
      <c r="M579" s="72" t="e">
        <f t="shared" si="11"/>
        <v>#N/A</v>
      </c>
      <c r="O579" s="72"/>
    </row>
    <row r="580" spans="1:15">
      <c r="A580" s="28" t="s">
        <v>184</v>
      </c>
      <c r="C580" s="116" t="s">
        <v>180</v>
      </c>
      <c r="D580" s="117">
        <f>1.8</f>
        <v>1.8</v>
      </c>
      <c r="E580" s="118">
        <f>0.9</f>
        <v>0.9</v>
      </c>
      <c r="F580" s="72">
        <v>1.6</v>
      </c>
      <c r="G580" s="31">
        <v>5.4</v>
      </c>
      <c r="H580" s="117" t="e">
        <f>NA()</f>
        <v>#N/A</v>
      </c>
      <c r="I580" s="29"/>
      <c r="J580" s="117" t="e">
        <f>NA()</f>
        <v>#N/A</v>
      </c>
      <c r="L580" s="117" t="e">
        <f>H580-(I580+J580)</f>
        <v>#N/A</v>
      </c>
      <c r="M580" s="72" t="e">
        <f t="shared" si="11"/>
        <v>#N/A</v>
      </c>
      <c r="O580" s="117"/>
    </row>
    <row r="581" spans="1:15">
      <c r="A581" s="28" t="s">
        <v>185</v>
      </c>
      <c r="C581" s="116" t="s">
        <v>180</v>
      </c>
      <c r="D581" s="117">
        <f>1.8</f>
        <v>1.8</v>
      </c>
      <c r="E581" s="118">
        <f>0.9</f>
        <v>0.9</v>
      </c>
      <c r="F581" s="72">
        <v>1.6</v>
      </c>
      <c r="G581" s="31">
        <v>5.4</v>
      </c>
      <c r="H581" s="117" t="e">
        <f>NA()</f>
        <v>#N/A</v>
      </c>
      <c r="I581" s="29"/>
      <c r="J581" s="117" t="e">
        <f>NA()</f>
        <v>#N/A</v>
      </c>
      <c r="L581" s="117" t="e">
        <f>H581-(I581+J581)</f>
        <v>#N/A</v>
      </c>
      <c r="M581" s="72" t="e">
        <f t="shared" si="11"/>
        <v>#N/A</v>
      </c>
      <c r="O581" s="117"/>
    </row>
    <row r="582" spans="1:15">
      <c r="A582" s="28" t="s">
        <v>186</v>
      </c>
      <c r="C582" s="116" t="s">
        <v>132</v>
      </c>
      <c r="D582" s="117">
        <f>1.8</f>
        <v>1.8</v>
      </c>
      <c r="E582" s="118">
        <f>1.35</f>
        <v>1.35</v>
      </c>
      <c r="F582" s="72">
        <v>2.4</v>
      </c>
      <c r="G582" s="31">
        <v>6.3</v>
      </c>
      <c r="H582" s="117" t="e">
        <f>NA()</f>
        <v>#N/A</v>
      </c>
      <c r="I582" s="29"/>
      <c r="J582" s="117" t="e">
        <f>NA()</f>
        <v>#N/A</v>
      </c>
      <c r="L582" s="117" t="e">
        <f>H582-(I582+J582)</f>
        <v>#N/A</v>
      </c>
      <c r="M582" s="72" t="e">
        <f t="shared" si="11"/>
        <v>#N/A</v>
      </c>
      <c r="O582" s="117"/>
    </row>
    <row r="583" spans="1:15">
      <c r="A583" s="28" t="s">
        <v>187</v>
      </c>
      <c r="C583" s="28" t="s">
        <v>188</v>
      </c>
      <c r="D583" s="108">
        <f>5.4</f>
        <v>5.4</v>
      </c>
      <c r="E583" s="73">
        <f>2.9</f>
        <v>2.9</v>
      </c>
      <c r="F583" s="72">
        <v>15.7</v>
      </c>
      <c r="G583" s="31">
        <v>16.600000000000001</v>
      </c>
      <c r="H583" s="31" t="e">
        <f>NA()</f>
        <v>#N/A</v>
      </c>
      <c r="I583" s="31" t="e">
        <f>NA()</f>
        <v>#N/A</v>
      </c>
      <c r="J583" s="31"/>
      <c r="K583" s="114" t="e">
        <f t="shared" ref="K583:K588" si="12">H583-(I583+J583)</f>
        <v>#N/A</v>
      </c>
      <c r="L583" s="72"/>
      <c r="M583" s="72" t="e">
        <f t="shared" si="11"/>
        <v>#N/A</v>
      </c>
      <c r="O583" s="72"/>
    </row>
    <row r="584" spans="1:15">
      <c r="A584" s="28" t="s">
        <v>189</v>
      </c>
      <c r="C584" s="28" t="s">
        <v>188</v>
      </c>
      <c r="D584" s="108">
        <f>5.4</f>
        <v>5.4</v>
      </c>
      <c r="E584" s="73">
        <f>3.1</f>
        <v>3.1</v>
      </c>
      <c r="F584" s="72">
        <v>16.8</v>
      </c>
      <c r="G584" s="31">
        <v>17</v>
      </c>
      <c r="H584" s="31" t="e">
        <f>NA()</f>
        <v>#N/A</v>
      </c>
      <c r="I584" s="31" t="e">
        <f>NA()</f>
        <v>#N/A</v>
      </c>
      <c r="J584" s="31" t="e">
        <f>NA()</f>
        <v>#N/A</v>
      </c>
      <c r="K584" s="114" t="e">
        <f t="shared" si="12"/>
        <v>#N/A</v>
      </c>
      <c r="L584" s="72"/>
      <c r="M584" s="72" t="e">
        <f t="shared" si="11"/>
        <v>#N/A</v>
      </c>
      <c r="O584" s="72"/>
    </row>
    <row r="585" spans="1:15">
      <c r="A585" s="28" t="s">
        <v>190</v>
      </c>
      <c r="C585" s="28" t="s">
        <v>188</v>
      </c>
      <c r="D585" s="108">
        <f>5.4</f>
        <v>5.4</v>
      </c>
      <c r="E585" s="73">
        <f>2.9</f>
        <v>2.9</v>
      </c>
      <c r="F585" s="72">
        <v>15.7</v>
      </c>
      <c r="G585" s="31">
        <v>16.600000000000001</v>
      </c>
      <c r="H585" s="31" t="e">
        <f>NA()</f>
        <v>#N/A</v>
      </c>
      <c r="I585" s="31" t="e">
        <f>NA()</f>
        <v>#N/A</v>
      </c>
      <c r="J585" s="31" t="e">
        <f>NA()</f>
        <v>#N/A</v>
      </c>
      <c r="K585" s="114" t="e">
        <f t="shared" si="12"/>
        <v>#N/A</v>
      </c>
      <c r="L585" s="72"/>
      <c r="M585" s="72" t="e">
        <f t="shared" si="11"/>
        <v>#N/A</v>
      </c>
      <c r="O585" s="72"/>
    </row>
    <row r="586" spans="1:15">
      <c r="A586" s="28" t="s">
        <v>191</v>
      </c>
      <c r="C586" s="28" t="s">
        <v>188</v>
      </c>
      <c r="D586" s="108">
        <f>5.4</f>
        <v>5.4</v>
      </c>
      <c r="E586" s="73">
        <f>3.1</f>
        <v>3.1</v>
      </c>
      <c r="F586" s="72">
        <v>16.8</v>
      </c>
      <c r="G586" s="31">
        <v>17</v>
      </c>
      <c r="H586" s="31" t="e">
        <f>NA()</f>
        <v>#N/A</v>
      </c>
      <c r="I586" s="31" t="e">
        <f>NA()</f>
        <v>#N/A</v>
      </c>
      <c r="J586" s="31" t="e">
        <f>NA()</f>
        <v>#N/A</v>
      </c>
      <c r="K586" s="114" t="e">
        <f t="shared" si="12"/>
        <v>#N/A</v>
      </c>
      <c r="L586" s="72"/>
      <c r="M586" s="72" t="e">
        <f t="shared" si="11"/>
        <v>#N/A</v>
      </c>
      <c r="O586" s="72"/>
    </row>
    <row r="587" spans="1:15">
      <c r="A587" s="28" t="s">
        <v>192</v>
      </c>
      <c r="C587" s="28" t="s">
        <v>188</v>
      </c>
      <c r="D587" s="108">
        <f>6.3</f>
        <v>6.3</v>
      </c>
      <c r="E587" s="73">
        <f>2.9</f>
        <v>2.9</v>
      </c>
      <c r="F587" s="72">
        <v>15.3</v>
      </c>
      <c r="G587" s="31">
        <v>18.399999999999999</v>
      </c>
      <c r="H587" s="31" t="e">
        <f>NA()</f>
        <v>#N/A</v>
      </c>
      <c r="I587" s="31" t="e">
        <f>NA()</f>
        <v>#N/A</v>
      </c>
      <c r="J587" s="31" t="e">
        <f>NA()</f>
        <v>#N/A</v>
      </c>
      <c r="K587" s="114" t="e">
        <f t="shared" si="12"/>
        <v>#N/A</v>
      </c>
      <c r="L587" s="72"/>
      <c r="M587" s="72" t="e">
        <f t="shared" si="11"/>
        <v>#N/A</v>
      </c>
      <c r="O587" s="72"/>
    </row>
    <row r="588" spans="1:15">
      <c r="A588" s="28" t="s">
        <v>193</v>
      </c>
      <c r="C588" s="28" t="s">
        <v>194</v>
      </c>
      <c r="D588" s="108">
        <f>1.7</f>
        <v>1.7</v>
      </c>
      <c r="E588" s="73">
        <f>1.5</f>
        <v>1.5</v>
      </c>
      <c r="F588" s="72">
        <v>2.5499999999999998</v>
      </c>
      <c r="G588" s="31">
        <v>6.4</v>
      </c>
      <c r="H588" s="31" t="e">
        <f>NA()</f>
        <v>#N/A</v>
      </c>
      <c r="J588" s="31" t="e">
        <f>NA()</f>
        <v>#N/A</v>
      </c>
      <c r="K588" s="114" t="e">
        <f t="shared" si="12"/>
        <v>#N/A</v>
      </c>
      <c r="L588" s="72"/>
      <c r="M588" s="72" t="e">
        <f t="shared" si="11"/>
        <v>#N/A</v>
      </c>
      <c r="O588" s="72"/>
    </row>
    <row r="589" spans="1:15">
      <c r="A589" s="29"/>
      <c r="C589" s="28"/>
      <c r="D589" s="108"/>
      <c r="E589" s="73"/>
      <c r="F589" s="72"/>
      <c r="J589" s="109"/>
      <c r="L589" s="72"/>
      <c r="M589" s="72">
        <f t="shared" si="11"/>
        <v>0</v>
      </c>
      <c r="O589" s="72"/>
    </row>
    <row r="590" spans="1:15">
      <c r="A590" s="29"/>
      <c r="C590" s="107" t="s">
        <v>195</v>
      </c>
      <c r="D590" s="108"/>
      <c r="E590" s="73"/>
      <c r="F590" s="72"/>
      <c r="G590" s="31"/>
      <c r="J590" s="109"/>
      <c r="L590" s="72"/>
      <c r="M590" s="72">
        <f t="shared" si="11"/>
        <v>0</v>
      </c>
      <c r="O590" s="72"/>
    </row>
    <row r="591" spans="1:15">
      <c r="A591" s="28" t="s">
        <v>196</v>
      </c>
      <c r="C591" s="28" t="s">
        <v>197</v>
      </c>
      <c r="D591" s="108">
        <f>6.3</f>
        <v>6.3</v>
      </c>
      <c r="E591" s="73">
        <f>4.5</f>
        <v>4.5</v>
      </c>
      <c r="F591" s="72">
        <v>18.649999999999999</v>
      </c>
      <c r="G591" s="31">
        <v>21.6</v>
      </c>
      <c r="H591" s="31" t="e">
        <f>NA()</f>
        <v>#N/A</v>
      </c>
      <c r="I591" s="31" t="e">
        <f>NA()</f>
        <v>#N/A</v>
      </c>
      <c r="J591" s="31" t="e">
        <f>NA()</f>
        <v>#N/A</v>
      </c>
      <c r="K591" s="114" t="e">
        <f>H591-(I591+J591)</f>
        <v>#N/A</v>
      </c>
      <c r="L591" s="72"/>
      <c r="M591" s="72" t="e">
        <f t="shared" si="11"/>
        <v>#N/A</v>
      </c>
      <c r="O591" s="72"/>
    </row>
    <row r="592" spans="1:15">
      <c r="A592" s="28" t="s">
        <v>198</v>
      </c>
      <c r="B592" s="175"/>
      <c r="C592" s="116" t="s">
        <v>199</v>
      </c>
      <c r="D592" s="117">
        <f>6.3</f>
        <v>6.3</v>
      </c>
      <c r="E592" s="118">
        <f>4.5</f>
        <v>4.5</v>
      </c>
      <c r="F592" s="72">
        <v>25.1</v>
      </c>
      <c r="G592" s="31">
        <v>21.6</v>
      </c>
      <c r="H592" s="117" t="e">
        <f>NA()</f>
        <v>#N/A</v>
      </c>
      <c r="I592" s="117" t="e">
        <f>NA()</f>
        <v>#N/A</v>
      </c>
      <c r="J592" s="117" t="e">
        <f>NA()</f>
        <v>#N/A</v>
      </c>
      <c r="L592" s="117" t="e">
        <f>H592-(I592+J592)</f>
        <v>#N/A</v>
      </c>
      <c r="M592" s="72" t="e">
        <f t="shared" si="11"/>
        <v>#N/A</v>
      </c>
      <c r="O592" s="117"/>
    </row>
    <row r="593" spans="1:15">
      <c r="A593" s="28" t="s">
        <v>200</v>
      </c>
      <c r="B593" s="175"/>
      <c r="C593" s="116" t="s">
        <v>132</v>
      </c>
      <c r="D593" s="117">
        <f>2.1</f>
        <v>2.1</v>
      </c>
      <c r="E593" s="118">
        <f>1</f>
        <v>1</v>
      </c>
      <c r="F593" s="72">
        <v>2.1</v>
      </c>
      <c r="G593" s="31">
        <v>6.2</v>
      </c>
      <c r="H593" s="117" t="e">
        <f>NA()</f>
        <v>#N/A</v>
      </c>
      <c r="I593" s="29"/>
      <c r="J593" s="117" t="e">
        <f>NA()</f>
        <v>#N/A</v>
      </c>
      <c r="L593" s="117" t="e">
        <f>H593-(I593+J593)</f>
        <v>#N/A</v>
      </c>
      <c r="M593" s="72" t="e">
        <f t="shared" si="11"/>
        <v>#N/A</v>
      </c>
      <c r="O593" s="117"/>
    </row>
    <row r="594" spans="1:15">
      <c r="A594" s="28" t="s">
        <v>201</v>
      </c>
      <c r="B594" s="175"/>
      <c r="C594" s="28" t="s">
        <v>202</v>
      </c>
      <c r="D594" s="108">
        <f>17.1</f>
        <v>17.100000000000001</v>
      </c>
      <c r="E594" s="73">
        <f>11.7</f>
        <v>11.7</v>
      </c>
      <c r="F594" s="72">
        <v>195.6</v>
      </c>
      <c r="G594" s="31">
        <v>57.6</v>
      </c>
      <c r="H594" s="31">
        <v>247.68</v>
      </c>
      <c r="I594" s="31">
        <v>208.12</v>
      </c>
      <c r="J594" s="31">
        <v>39.56</v>
      </c>
      <c r="K594" s="114"/>
      <c r="L594" s="72"/>
      <c r="M594" s="72">
        <f t="shared" si="11"/>
        <v>0</v>
      </c>
      <c r="O594" s="72"/>
    </row>
    <row r="595" spans="1:15">
      <c r="A595" s="28" t="s">
        <v>203</v>
      </c>
      <c r="B595" s="175"/>
      <c r="C595" s="28" t="s">
        <v>204</v>
      </c>
      <c r="D595" s="108">
        <f>3</f>
        <v>3</v>
      </c>
      <c r="E595" s="73">
        <f>2.37</f>
        <v>2.37</v>
      </c>
      <c r="F595" s="72">
        <v>8.1999999999999993</v>
      </c>
      <c r="G595" s="31">
        <v>10.74</v>
      </c>
      <c r="H595" s="31" t="e">
        <f>NA()</f>
        <v>#N/A</v>
      </c>
      <c r="I595" s="31" t="e">
        <f>NA()</f>
        <v>#N/A</v>
      </c>
      <c r="J595" s="31" t="e">
        <f>NA()</f>
        <v>#N/A</v>
      </c>
      <c r="K595" s="114" t="e">
        <f>H595-(I595+J595)</f>
        <v>#N/A</v>
      </c>
      <c r="L595" s="115"/>
      <c r="M595" s="72" t="e">
        <f t="shared" si="11"/>
        <v>#N/A</v>
      </c>
      <c r="O595" s="72"/>
    </row>
    <row r="596" spans="1:15">
      <c r="A596" s="29"/>
      <c r="B596" s="175"/>
      <c r="C596" s="28"/>
      <c r="D596" s="108"/>
      <c r="E596" s="73"/>
      <c r="F596" s="72"/>
      <c r="G596" s="31"/>
      <c r="J596" s="109"/>
      <c r="L596" s="115"/>
      <c r="M596" s="72">
        <f t="shared" si="11"/>
        <v>0</v>
      </c>
      <c r="O596" s="72"/>
    </row>
    <row r="597" spans="1:15">
      <c r="A597" s="29"/>
      <c r="B597" s="175"/>
      <c r="C597" s="28"/>
      <c r="D597" s="108"/>
      <c r="E597" s="73"/>
      <c r="G597" s="31"/>
      <c r="J597" s="109"/>
      <c r="L597" s="115"/>
      <c r="M597" s="72">
        <f t="shared" si="11"/>
        <v>0</v>
      </c>
      <c r="O597" s="72"/>
    </row>
    <row r="598" spans="1:15">
      <c r="A598" s="29"/>
      <c r="B598" s="175"/>
      <c r="C598" s="28"/>
      <c r="D598" s="108"/>
      <c r="E598" s="73"/>
      <c r="J598" s="109"/>
      <c r="L598" s="115"/>
      <c r="M598" s="72"/>
      <c r="O598" s="72"/>
    </row>
    <row r="599" spans="1:15">
      <c r="A599" s="29"/>
      <c r="B599" s="175"/>
      <c r="C599" s="28"/>
      <c r="D599" s="108"/>
      <c r="E599" s="73"/>
      <c r="F599" s="72"/>
      <c r="G599" s="31"/>
      <c r="J599" s="109"/>
      <c r="L599" s="115"/>
      <c r="M599" s="72"/>
      <c r="O599" s="72"/>
    </row>
    <row r="600" spans="1:15">
      <c r="A600" s="29"/>
      <c r="B600" s="175"/>
      <c r="C600" s="107" t="s">
        <v>205</v>
      </c>
      <c r="D600" s="108"/>
      <c r="E600" s="73"/>
      <c r="F600" s="72"/>
      <c r="G600" s="31"/>
      <c r="J600" s="109"/>
      <c r="L600" s="115"/>
      <c r="M600" s="72">
        <f t="shared" ref="M600:M611" si="13">H600-(I600+J600+K600+L600)</f>
        <v>0</v>
      </c>
      <c r="O600" s="72"/>
    </row>
    <row r="601" spans="1:15">
      <c r="A601" s="73" t="s">
        <v>206</v>
      </c>
      <c r="B601" s="175"/>
      <c r="C601" s="28" t="s">
        <v>207</v>
      </c>
      <c r="D601" s="31">
        <f>6.3</f>
        <v>6.3</v>
      </c>
      <c r="E601" s="31">
        <f>6.2</f>
        <v>6.2</v>
      </c>
      <c r="F601" s="72">
        <v>37.5</v>
      </c>
      <c r="G601" s="31">
        <v>25</v>
      </c>
      <c r="H601" s="31" t="e">
        <f>NA()</f>
        <v>#N/A</v>
      </c>
      <c r="I601" s="31" t="e">
        <f>NA()</f>
        <v>#N/A</v>
      </c>
      <c r="J601" s="31" t="e">
        <f>NA()</f>
        <v>#N/A</v>
      </c>
      <c r="K601" s="114" t="e">
        <f>H601-(I601+J601)</f>
        <v>#N/A</v>
      </c>
      <c r="L601" s="115"/>
      <c r="M601" s="72" t="e">
        <f t="shared" si="13"/>
        <v>#N/A</v>
      </c>
      <c r="O601" s="72"/>
    </row>
    <row r="602" spans="1:15">
      <c r="A602" s="73" t="s">
        <v>208</v>
      </c>
      <c r="B602" s="175"/>
      <c r="C602" s="116" t="s">
        <v>209</v>
      </c>
      <c r="D602" s="31">
        <f>6.3</f>
        <v>6.3</v>
      </c>
      <c r="E602" s="31">
        <f>6.2</f>
        <v>6.2</v>
      </c>
      <c r="F602" s="72">
        <v>30.85</v>
      </c>
      <c r="G602" s="31">
        <v>25</v>
      </c>
      <c r="H602" s="117" t="e">
        <f>NA()</f>
        <v>#N/A</v>
      </c>
      <c r="I602" s="29"/>
      <c r="J602" s="117" t="e">
        <f>NA()</f>
        <v>#N/A</v>
      </c>
      <c r="L602" s="117" t="e">
        <f>H602-(I602+J602)</f>
        <v>#N/A</v>
      </c>
      <c r="M602" s="72" t="e">
        <f t="shared" si="13"/>
        <v>#N/A</v>
      </c>
      <c r="O602" s="117"/>
    </row>
    <row r="603" spans="1:15">
      <c r="A603" s="73" t="s">
        <v>210</v>
      </c>
      <c r="B603" s="175"/>
      <c r="C603" s="116" t="s">
        <v>211</v>
      </c>
      <c r="D603" s="117">
        <f>3.2</f>
        <v>3.2</v>
      </c>
      <c r="E603" s="118">
        <f>2</f>
        <v>2</v>
      </c>
      <c r="F603" s="72">
        <v>6.4</v>
      </c>
      <c r="G603" s="31">
        <v>10.4</v>
      </c>
      <c r="H603" s="117" t="e">
        <f>NA()</f>
        <v>#N/A</v>
      </c>
      <c r="I603" s="117" t="e">
        <f>NA()</f>
        <v>#N/A</v>
      </c>
      <c r="J603" s="117" t="e">
        <f>NA()</f>
        <v>#N/A</v>
      </c>
      <c r="L603" s="117" t="e">
        <f>H603-(I603+J603)</f>
        <v>#N/A</v>
      </c>
      <c r="M603" s="72" t="e">
        <f t="shared" si="13"/>
        <v>#N/A</v>
      </c>
      <c r="O603" s="117"/>
    </row>
    <row r="604" spans="1:15">
      <c r="A604" s="73" t="s">
        <v>212</v>
      </c>
      <c r="B604" s="175"/>
      <c r="C604" s="116" t="s">
        <v>213</v>
      </c>
      <c r="D604" s="117">
        <f>4.5</f>
        <v>4.5</v>
      </c>
      <c r="E604" s="118">
        <f>2</f>
        <v>2</v>
      </c>
      <c r="F604" s="72">
        <v>9</v>
      </c>
      <c r="G604" s="31">
        <v>13</v>
      </c>
      <c r="H604" s="117" t="e">
        <f>NA()</f>
        <v>#N/A</v>
      </c>
      <c r="I604" s="117" t="e">
        <f>NA()</f>
        <v>#N/A</v>
      </c>
      <c r="J604" s="117" t="e">
        <f>NA()</f>
        <v>#N/A</v>
      </c>
      <c r="L604" s="117" t="e">
        <f>H604-(I604+J604)</f>
        <v>#N/A</v>
      </c>
      <c r="M604" s="72" t="e">
        <f t="shared" si="13"/>
        <v>#N/A</v>
      </c>
      <c r="O604" s="117"/>
    </row>
    <row r="605" spans="1:15">
      <c r="A605" s="73" t="s">
        <v>214</v>
      </c>
      <c r="B605" s="175"/>
      <c r="C605" s="116" t="s">
        <v>215</v>
      </c>
      <c r="D605" s="117">
        <f>4.5</f>
        <v>4.5</v>
      </c>
      <c r="E605" s="118">
        <f>2</f>
        <v>2</v>
      </c>
      <c r="F605" s="72">
        <v>9</v>
      </c>
      <c r="G605" s="31">
        <v>13</v>
      </c>
      <c r="H605" s="117" t="e">
        <f>NA()</f>
        <v>#N/A</v>
      </c>
      <c r="I605" s="117" t="e">
        <f>NA()</f>
        <v>#N/A</v>
      </c>
      <c r="J605" s="117"/>
      <c r="L605" s="117" t="e">
        <f>H605-(I605+J605)</f>
        <v>#N/A</v>
      </c>
      <c r="M605" s="72" t="e">
        <f t="shared" si="13"/>
        <v>#N/A</v>
      </c>
      <c r="O605" s="117"/>
    </row>
    <row r="606" spans="1:15">
      <c r="A606" s="73" t="s">
        <v>216</v>
      </c>
      <c r="B606" s="175"/>
      <c r="C606" s="28" t="s">
        <v>217</v>
      </c>
      <c r="D606" s="123">
        <f>2.775</f>
        <v>2.7749999999999999</v>
      </c>
      <c r="E606" s="73">
        <f>2</f>
        <v>2</v>
      </c>
      <c r="F606" s="72">
        <v>5.55</v>
      </c>
      <c r="G606" s="31">
        <v>9.5500000000000007</v>
      </c>
      <c r="H606" s="31" t="e">
        <f>NA()</f>
        <v>#N/A</v>
      </c>
      <c r="J606" s="31" t="e">
        <f>NA()</f>
        <v>#N/A</v>
      </c>
      <c r="K606" s="114" t="e">
        <f>H606-(I606+J606)</f>
        <v>#N/A</v>
      </c>
      <c r="L606" s="72"/>
      <c r="M606" s="72" t="e">
        <f t="shared" si="13"/>
        <v>#N/A</v>
      </c>
      <c r="O606" s="72"/>
    </row>
    <row r="607" spans="1:15">
      <c r="A607" s="73" t="s">
        <v>218</v>
      </c>
      <c r="B607" s="175"/>
      <c r="C607" s="28" t="s">
        <v>219</v>
      </c>
      <c r="D607" s="31">
        <f>3.2</f>
        <v>3.2</v>
      </c>
      <c r="E607" s="73">
        <f>2</f>
        <v>2</v>
      </c>
      <c r="F607" s="72">
        <v>6</v>
      </c>
      <c r="G607" s="31">
        <v>10.4</v>
      </c>
      <c r="H607" s="31" t="e">
        <f>NA()</f>
        <v>#N/A</v>
      </c>
      <c r="I607" s="31" t="e">
        <f>NA()</f>
        <v>#N/A</v>
      </c>
      <c r="J607" s="31" t="e">
        <f>NA()</f>
        <v>#N/A</v>
      </c>
      <c r="K607" s="114" t="e">
        <f>H607-(I607+J607)</f>
        <v>#N/A</v>
      </c>
      <c r="L607" s="72"/>
      <c r="M607" s="72" t="e">
        <f t="shared" si="13"/>
        <v>#N/A</v>
      </c>
      <c r="O607" s="72"/>
    </row>
    <row r="608" spans="1:15">
      <c r="A608" s="73" t="s">
        <v>220</v>
      </c>
      <c r="C608" s="116" t="s">
        <v>180</v>
      </c>
      <c r="D608" s="117">
        <f>1.7</f>
        <v>1.7</v>
      </c>
      <c r="E608" s="118">
        <f>1.2</f>
        <v>1.2</v>
      </c>
      <c r="F608" s="72">
        <v>2</v>
      </c>
      <c r="G608" s="31">
        <v>5.8</v>
      </c>
      <c r="H608" s="117" t="e">
        <f>NA()</f>
        <v>#N/A</v>
      </c>
      <c r="I608" s="117" t="e">
        <f>NA()</f>
        <v>#N/A</v>
      </c>
      <c r="J608" s="117" t="e">
        <f>NA()</f>
        <v>#N/A</v>
      </c>
      <c r="L608" s="117" t="e">
        <f>H608-(I608+J608)</f>
        <v>#N/A</v>
      </c>
      <c r="M608" s="72" t="e">
        <f t="shared" si="13"/>
        <v>#N/A</v>
      </c>
      <c r="O608" s="117"/>
    </row>
    <row r="609" spans="1:15">
      <c r="A609" s="73" t="s">
        <v>221</v>
      </c>
      <c r="B609" s="175"/>
      <c r="C609" s="116" t="s">
        <v>132</v>
      </c>
      <c r="D609" s="117">
        <f>1.45</f>
        <v>1.45</v>
      </c>
      <c r="E609" s="118">
        <f>0.9</f>
        <v>0.9</v>
      </c>
      <c r="F609" s="72">
        <v>1.3</v>
      </c>
      <c r="G609" s="31">
        <v>4.7</v>
      </c>
      <c r="H609" s="117" t="e">
        <f>NA()</f>
        <v>#N/A</v>
      </c>
      <c r="I609" s="29"/>
      <c r="J609" s="117"/>
      <c r="L609" s="117" t="e">
        <f>H609-(I609+J609)</f>
        <v>#N/A</v>
      </c>
      <c r="M609" s="72" t="e">
        <f t="shared" si="13"/>
        <v>#N/A</v>
      </c>
      <c r="O609" s="117"/>
    </row>
    <row r="610" spans="1:15">
      <c r="A610" s="73" t="s">
        <v>222</v>
      </c>
      <c r="B610" s="175"/>
      <c r="C610" s="28" t="s">
        <v>126</v>
      </c>
      <c r="D610" s="31">
        <f>F610/E610</f>
        <v>8.4057971014492754</v>
      </c>
      <c r="E610" s="124">
        <f>1.725</f>
        <v>1.7250000000000001</v>
      </c>
      <c r="F610" s="72">
        <v>14.5</v>
      </c>
      <c r="G610" s="31">
        <v>20.26159420289855</v>
      </c>
      <c r="H610" s="31" t="e">
        <f>NA()</f>
        <v>#N/A</v>
      </c>
      <c r="J610" s="31" t="e">
        <f>NA()</f>
        <v>#N/A</v>
      </c>
      <c r="K610" s="114" t="e">
        <f>H610-(I610+J610)</f>
        <v>#N/A</v>
      </c>
      <c r="L610" s="72"/>
      <c r="M610" s="72" t="e">
        <f t="shared" si="13"/>
        <v>#N/A</v>
      </c>
      <c r="O610" s="72"/>
    </row>
    <row r="611" spans="1:15">
      <c r="A611" s="73" t="s">
        <v>223</v>
      </c>
      <c r="B611" s="175"/>
      <c r="C611" s="28" t="s">
        <v>118</v>
      </c>
      <c r="D611" s="31">
        <f>2</f>
        <v>2</v>
      </c>
      <c r="E611" s="73">
        <f>1.55</f>
        <v>1.55</v>
      </c>
      <c r="F611" s="72">
        <v>3.45</v>
      </c>
      <c r="G611" s="31">
        <v>7.1</v>
      </c>
      <c r="H611" s="31" t="e">
        <f>NA()</f>
        <v>#N/A</v>
      </c>
      <c r="I611" s="29" t="e">
        <f>NA()</f>
        <v>#N/A</v>
      </c>
      <c r="J611" s="31" t="e">
        <f>NA()</f>
        <v>#N/A</v>
      </c>
      <c r="K611" s="114" t="e">
        <f>H611-(I611+J611+L611)</f>
        <v>#N/A</v>
      </c>
      <c r="L611" s="117" t="e">
        <f>(D611+E611)*#REF!</f>
        <v>#REF!</v>
      </c>
      <c r="M611" s="72" t="e">
        <f t="shared" si="13"/>
        <v>#N/A</v>
      </c>
      <c r="O611" s="117"/>
    </row>
    <row r="612" spans="1:15">
      <c r="A612" s="73"/>
      <c r="B612" s="175"/>
      <c r="C612" s="28"/>
      <c r="D612" s="31"/>
      <c r="E612" s="73"/>
      <c r="F612" s="72"/>
      <c r="G612" s="31"/>
      <c r="I612" s="29"/>
      <c r="J612" s="31"/>
      <c r="K612" s="114"/>
      <c r="L612" s="117"/>
      <c r="M612" s="72"/>
      <c r="O612" s="117"/>
    </row>
    <row r="613" spans="1:15">
      <c r="A613" s="73"/>
      <c r="B613" s="175"/>
      <c r="C613" s="28"/>
      <c r="D613" s="31"/>
      <c r="E613" s="73"/>
      <c r="F613" s="72"/>
      <c r="G613" s="31"/>
      <c r="I613" s="29"/>
      <c r="J613" s="31"/>
      <c r="K613" s="114"/>
      <c r="L613" s="117"/>
      <c r="M613" s="72"/>
      <c r="O613" s="117"/>
    </row>
    <row r="614" spans="1:15">
      <c r="A614" s="73"/>
      <c r="B614" s="175"/>
      <c r="C614" s="28"/>
      <c r="D614" s="31"/>
      <c r="E614" s="73"/>
      <c r="F614" s="72"/>
      <c r="G614" s="31"/>
      <c r="I614" s="29"/>
      <c r="J614" s="31"/>
      <c r="K614" s="114"/>
      <c r="L614" s="117"/>
      <c r="M614" s="72"/>
      <c r="O614" s="117"/>
    </row>
    <row r="615" spans="1:15">
      <c r="A615" s="73"/>
      <c r="B615" s="175"/>
      <c r="C615" s="28"/>
      <c r="D615" s="31"/>
      <c r="E615" s="73"/>
      <c r="F615" s="72"/>
      <c r="G615" s="31"/>
      <c r="I615" s="29"/>
      <c r="J615" s="31"/>
      <c r="K615" s="114"/>
      <c r="L615" s="117"/>
      <c r="M615" s="72"/>
      <c r="O615" s="117"/>
    </row>
    <row r="616" spans="1:15">
      <c r="A616" s="73"/>
      <c r="C616" s="28"/>
      <c r="D616" s="31"/>
      <c r="E616" s="73"/>
      <c r="F616" s="72"/>
      <c r="G616" s="31"/>
      <c r="I616" s="29"/>
      <c r="J616" s="31"/>
      <c r="K616" s="114"/>
      <c r="L616" s="117"/>
      <c r="M616" s="72"/>
      <c r="O616" s="117"/>
    </row>
    <row r="617" spans="1:15">
      <c r="A617" s="73"/>
      <c r="C617" s="28"/>
      <c r="D617" s="31"/>
      <c r="E617" s="73"/>
      <c r="F617" s="72"/>
      <c r="G617" s="31"/>
      <c r="I617" s="29"/>
      <c r="J617" s="31"/>
      <c r="K617" s="114"/>
      <c r="L617" s="117"/>
      <c r="M617" s="72"/>
      <c r="O617" s="117"/>
    </row>
    <row r="618" spans="1:15">
      <c r="A618" s="73"/>
      <c r="C618" s="28"/>
      <c r="D618" s="31"/>
      <c r="E618" s="73"/>
      <c r="F618" s="72"/>
      <c r="I618" s="29"/>
      <c r="J618" s="31"/>
      <c r="K618" s="114"/>
      <c r="L618" s="117"/>
      <c r="M618" s="72"/>
      <c r="O618" s="117"/>
    </row>
    <row r="619" spans="1:15">
      <c r="A619" s="73"/>
      <c r="C619" s="28"/>
      <c r="D619" s="31"/>
      <c r="E619" s="73"/>
      <c r="F619" s="72"/>
      <c r="G619" s="31"/>
      <c r="I619" s="29"/>
      <c r="J619" s="31"/>
      <c r="K619" s="114"/>
      <c r="L619" s="117"/>
      <c r="M619" s="72"/>
      <c r="O619" s="117"/>
    </row>
    <row r="620" spans="1:15">
      <c r="A620" s="29"/>
      <c r="C620" s="107" t="s">
        <v>224</v>
      </c>
      <c r="D620" s="117"/>
      <c r="E620" s="118"/>
      <c r="F620" s="72"/>
      <c r="G620" s="31"/>
      <c r="H620" s="117"/>
      <c r="I620" s="29"/>
      <c r="J620" s="117"/>
      <c r="L620" s="117"/>
      <c r="M620" s="72">
        <f t="shared" ref="M620:M650" si="14">H620-(I620+J620+K620+L620)</f>
        <v>0</v>
      </c>
      <c r="O620" s="117"/>
    </row>
    <row r="621" spans="1:15">
      <c r="A621" s="28" t="s">
        <v>225</v>
      </c>
      <c r="C621" s="28" t="s">
        <v>226</v>
      </c>
      <c r="D621" s="31">
        <f>6.2</f>
        <v>6.2</v>
      </c>
      <c r="E621" s="73">
        <f>4.5</f>
        <v>4.5</v>
      </c>
      <c r="F621" s="72">
        <v>28.4</v>
      </c>
      <c r="G621" s="31">
        <v>21.4</v>
      </c>
      <c r="H621" s="31" t="e">
        <f>NA()</f>
        <v>#N/A</v>
      </c>
      <c r="I621" s="31" t="e">
        <f>NA()</f>
        <v>#N/A</v>
      </c>
      <c r="J621" s="31" t="e">
        <f>NA()</f>
        <v>#N/A</v>
      </c>
      <c r="K621" s="114" t="e">
        <f>H621-(I621+J621)</f>
        <v>#N/A</v>
      </c>
      <c r="L621" s="72"/>
      <c r="M621" s="72" t="e">
        <f t="shared" si="14"/>
        <v>#N/A</v>
      </c>
      <c r="O621" s="72"/>
    </row>
    <row r="622" spans="1:15">
      <c r="A622" s="28" t="s">
        <v>227</v>
      </c>
      <c r="C622" s="28" t="s">
        <v>228</v>
      </c>
      <c r="D622" s="73">
        <f>4.5</f>
        <v>4.5</v>
      </c>
      <c r="E622" s="73">
        <f>2.7</f>
        <v>2.7</v>
      </c>
      <c r="F622" s="72">
        <v>12.15</v>
      </c>
      <c r="G622" s="31">
        <v>14.4</v>
      </c>
      <c r="H622" s="31" t="e">
        <f>NA()</f>
        <v>#N/A</v>
      </c>
      <c r="I622" s="31" t="e">
        <f>NA()</f>
        <v>#N/A</v>
      </c>
      <c r="J622" s="31" t="e">
        <f>NA()</f>
        <v>#N/A</v>
      </c>
      <c r="K622" s="114" t="e">
        <f>H622-(I622+J622)</f>
        <v>#N/A</v>
      </c>
      <c r="L622" s="72"/>
      <c r="M622" s="72" t="e">
        <f t="shared" si="14"/>
        <v>#N/A</v>
      </c>
      <c r="O622" s="72"/>
    </row>
    <row r="623" spans="1:15">
      <c r="A623" s="28" t="s">
        <v>229</v>
      </c>
      <c r="C623" s="28" t="s">
        <v>230</v>
      </c>
      <c r="D623" s="31">
        <f>4</f>
        <v>4</v>
      </c>
      <c r="E623" s="73">
        <f>1.4</f>
        <v>1.4</v>
      </c>
      <c r="F623" s="72">
        <v>5.55</v>
      </c>
      <c r="G623" s="31">
        <v>10.8</v>
      </c>
      <c r="H623" s="31" t="e">
        <f>NA()</f>
        <v>#N/A</v>
      </c>
      <c r="J623" s="31" t="e">
        <f>NA()</f>
        <v>#N/A</v>
      </c>
      <c r="K623" s="114" t="e">
        <f>H623-(I623+J623)</f>
        <v>#N/A</v>
      </c>
      <c r="M623" s="72" t="e">
        <f t="shared" si="14"/>
        <v>#N/A</v>
      </c>
    </row>
    <row r="624" spans="1:15">
      <c r="A624" s="28" t="s">
        <v>231</v>
      </c>
      <c r="C624" s="116" t="s">
        <v>180</v>
      </c>
      <c r="D624" s="117">
        <f>1.8</f>
        <v>1.8</v>
      </c>
      <c r="E624" s="118">
        <f>1.4</f>
        <v>1.4</v>
      </c>
      <c r="F624" s="72">
        <v>2.5</v>
      </c>
      <c r="G624" s="31">
        <v>6.4</v>
      </c>
      <c r="H624" s="117" t="e">
        <f>NA()</f>
        <v>#N/A</v>
      </c>
      <c r="I624" s="29"/>
      <c r="J624" s="117" t="e">
        <f>NA()</f>
        <v>#N/A</v>
      </c>
      <c r="L624" s="117" t="e">
        <f>H624-(I624+J624)</f>
        <v>#N/A</v>
      </c>
      <c r="M624" s="72" t="e">
        <f t="shared" si="14"/>
        <v>#N/A</v>
      </c>
      <c r="O624" s="117"/>
    </row>
    <row r="625" spans="1:15">
      <c r="A625" s="28" t="s">
        <v>232</v>
      </c>
      <c r="C625" s="116" t="s">
        <v>132</v>
      </c>
      <c r="D625" s="117">
        <f>1.65</f>
        <v>1.65</v>
      </c>
      <c r="E625" s="118">
        <f>1.4</f>
        <v>1.4</v>
      </c>
      <c r="F625" s="72">
        <v>2.2999999999999998</v>
      </c>
      <c r="G625" s="31">
        <v>6.1</v>
      </c>
      <c r="H625" s="117" t="e">
        <f>NA()</f>
        <v>#N/A</v>
      </c>
      <c r="I625" s="29"/>
      <c r="J625" s="117" t="e">
        <f>NA()</f>
        <v>#N/A</v>
      </c>
      <c r="L625" s="117" t="e">
        <f>H625-(I625+J625)</f>
        <v>#N/A</v>
      </c>
      <c r="M625" s="72" t="e">
        <f t="shared" si="14"/>
        <v>#N/A</v>
      </c>
      <c r="O625" s="117"/>
    </row>
    <row r="626" spans="1:15">
      <c r="A626" s="28" t="s">
        <v>233</v>
      </c>
      <c r="C626" s="116" t="s">
        <v>234</v>
      </c>
      <c r="D626" s="117">
        <f>6.2</f>
        <v>6.2</v>
      </c>
      <c r="E626" s="118">
        <f>4.5</f>
        <v>4.5</v>
      </c>
      <c r="F626" s="72">
        <v>23.95</v>
      </c>
      <c r="G626" s="31">
        <v>21.4</v>
      </c>
      <c r="H626" s="117" t="e">
        <f>NA()</f>
        <v>#N/A</v>
      </c>
      <c r="I626" s="117" t="e">
        <f>NA()</f>
        <v>#N/A</v>
      </c>
      <c r="J626" s="117" t="e">
        <f>NA()</f>
        <v>#N/A</v>
      </c>
      <c r="L626" s="117" t="e">
        <f>H626-(I626+J626)</f>
        <v>#N/A</v>
      </c>
      <c r="M626" s="72" t="e">
        <f t="shared" si="14"/>
        <v>#N/A</v>
      </c>
      <c r="O626" s="117"/>
    </row>
    <row r="627" spans="1:15">
      <c r="A627" s="28" t="s">
        <v>235</v>
      </c>
      <c r="B627" s="175"/>
      <c r="C627" s="116" t="s">
        <v>236</v>
      </c>
      <c r="D627" s="117">
        <f>2.2</f>
        <v>2.2000000000000002</v>
      </c>
      <c r="E627" s="118">
        <f>1.9</f>
        <v>1.9</v>
      </c>
      <c r="F627" s="72">
        <v>4.2</v>
      </c>
      <c r="G627" s="31">
        <v>8.1999999999999993</v>
      </c>
      <c r="H627" s="117" t="e">
        <f>NA()</f>
        <v>#N/A</v>
      </c>
      <c r="I627" s="29"/>
      <c r="J627" s="117" t="e">
        <f>NA()</f>
        <v>#N/A</v>
      </c>
      <c r="L627" s="117" t="e">
        <f>H627-(I627+J627)</f>
        <v>#N/A</v>
      </c>
      <c r="M627" s="72" t="e">
        <f t="shared" si="14"/>
        <v>#N/A</v>
      </c>
      <c r="O627" s="117"/>
    </row>
    <row r="628" spans="1:15">
      <c r="A628" s="28" t="s">
        <v>237</v>
      </c>
      <c r="C628" s="28" t="s">
        <v>238</v>
      </c>
      <c r="D628" s="31">
        <f>6.2</f>
        <v>6.2</v>
      </c>
      <c r="E628" s="124">
        <f>2.875</f>
        <v>2.875</v>
      </c>
      <c r="F628" s="72">
        <v>13.2</v>
      </c>
      <c r="G628" s="31">
        <v>18.149999999999999</v>
      </c>
      <c r="H628" s="31" t="e">
        <f>NA()</f>
        <v>#N/A</v>
      </c>
      <c r="I628" s="31" t="e">
        <f>NA()</f>
        <v>#N/A</v>
      </c>
      <c r="J628" s="31" t="e">
        <f>NA()</f>
        <v>#N/A</v>
      </c>
      <c r="K628" s="114"/>
      <c r="M628" s="72" t="e">
        <f t="shared" si="14"/>
        <v>#N/A</v>
      </c>
    </row>
    <row r="629" spans="1:15">
      <c r="A629" s="28" t="s">
        <v>239</v>
      </c>
      <c r="C629" s="116" t="s">
        <v>180</v>
      </c>
      <c r="D629" s="117">
        <f>1.7</f>
        <v>1.7</v>
      </c>
      <c r="E629" s="118">
        <f>1.4</f>
        <v>1.4</v>
      </c>
      <c r="F629" s="72">
        <v>2.4</v>
      </c>
      <c r="G629" s="31">
        <v>6.2</v>
      </c>
      <c r="H629" s="117" t="e">
        <f>NA()</f>
        <v>#N/A</v>
      </c>
      <c r="I629" s="29"/>
      <c r="J629" s="117" t="e">
        <f>NA()</f>
        <v>#N/A</v>
      </c>
      <c r="L629" s="117" t="e">
        <f>H629-(I629+J629)</f>
        <v>#N/A</v>
      </c>
      <c r="M629" s="72" t="e">
        <f t="shared" si="14"/>
        <v>#N/A</v>
      </c>
      <c r="O629" s="117"/>
    </row>
    <row r="630" spans="1:15">
      <c r="A630" s="28" t="s">
        <v>240</v>
      </c>
      <c r="C630" s="116" t="s">
        <v>132</v>
      </c>
      <c r="D630" s="117">
        <f>1.45</f>
        <v>1.45</v>
      </c>
      <c r="E630" s="118">
        <f>1.4</f>
        <v>1.4</v>
      </c>
      <c r="F630" s="72">
        <v>2</v>
      </c>
      <c r="G630" s="31">
        <v>5.7</v>
      </c>
      <c r="H630" s="117" t="e">
        <f>NA()</f>
        <v>#N/A</v>
      </c>
      <c r="I630" s="29"/>
      <c r="J630" s="117" t="e">
        <f>NA()</f>
        <v>#N/A</v>
      </c>
      <c r="L630" s="117" t="e">
        <f>H630-(I630+J630)</f>
        <v>#N/A</v>
      </c>
      <c r="M630" s="72" t="e">
        <f t="shared" si="14"/>
        <v>#N/A</v>
      </c>
      <c r="O630" s="117"/>
    </row>
    <row r="631" spans="1:15">
      <c r="A631" s="28" t="s">
        <v>241</v>
      </c>
      <c r="C631" s="28" t="s">
        <v>165</v>
      </c>
      <c r="D631" s="123">
        <f>2.775</f>
        <v>2.7749999999999999</v>
      </c>
      <c r="E631" s="73">
        <f>0.85</f>
        <v>0.85</v>
      </c>
      <c r="F631" s="72">
        <v>2.35</v>
      </c>
      <c r="G631" s="31">
        <v>7.25</v>
      </c>
      <c r="H631" s="31" t="e">
        <f>NA()</f>
        <v>#N/A</v>
      </c>
      <c r="J631" s="31" t="e">
        <f>NA()</f>
        <v>#N/A</v>
      </c>
      <c r="K631" s="114" t="e">
        <f>H631-(I631+J631)</f>
        <v>#N/A</v>
      </c>
      <c r="L631" s="115"/>
      <c r="M631" s="72" t="e">
        <f t="shared" si="14"/>
        <v>#N/A</v>
      </c>
      <c r="O631" s="72"/>
    </row>
    <row r="632" spans="1:15">
      <c r="A632" s="28" t="s">
        <v>242</v>
      </c>
      <c r="C632" s="28" t="s">
        <v>243</v>
      </c>
      <c r="D632" s="31">
        <f>3.05</f>
        <v>3.05</v>
      </c>
      <c r="E632" s="73">
        <f>3</f>
        <v>3</v>
      </c>
      <c r="F632" s="72">
        <v>9.1</v>
      </c>
      <c r="G632" s="31">
        <v>12.1</v>
      </c>
      <c r="H632" s="31" t="e">
        <f>NA()</f>
        <v>#N/A</v>
      </c>
      <c r="J632" s="31" t="e">
        <f>NA()</f>
        <v>#N/A</v>
      </c>
      <c r="K632" s="114" t="e">
        <f>H632-(I632+J632)</f>
        <v>#N/A</v>
      </c>
      <c r="L632" s="115"/>
      <c r="M632" s="72" t="e">
        <f t="shared" si="14"/>
        <v>#N/A</v>
      </c>
    </row>
    <row r="633" spans="1:15">
      <c r="A633" s="29"/>
      <c r="D633" s="29"/>
      <c r="E633" s="29"/>
      <c r="H633" s="29"/>
      <c r="I633" s="29"/>
      <c r="M633" s="72">
        <f t="shared" si="14"/>
        <v>0</v>
      </c>
    </row>
    <row r="634" spans="1:15">
      <c r="A634" s="29"/>
      <c r="D634" s="29"/>
      <c r="E634" s="29"/>
      <c r="H634" s="29"/>
      <c r="I634" s="29"/>
      <c r="M634" s="72">
        <f t="shared" si="14"/>
        <v>0</v>
      </c>
    </row>
    <row r="635" spans="1:15">
      <c r="A635" s="29"/>
      <c r="D635" s="29"/>
      <c r="E635" s="29"/>
      <c r="H635" s="29"/>
      <c r="I635" s="29"/>
      <c r="M635" s="72">
        <f t="shared" si="14"/>
        <v>0</v>
      </c>
    </row>
    <row r="636" spans="1:15">
      <c r="A636" s="29"/>
      <c r="D636" s="29"/>
      <c r="E636" s="29"/>
      <c r="H636" s="29"/>
      <c r="I636" s="29"/>
      <c r="M636" s="72">
        <f t="shared" si="14"/>
        <v>0</v>
      </c>
    </row>
    <row r="637" spans="1:15">
      <c r="A637" s="29"/>
      <c r="D637" s="29"/>
      <c r="E637" s="29"/>
      <c r="H637" s="29"/>
      <c r="I637" s="29"/>
      <c r="M637" s="72">
        <f t="shared" si="14"/>
        <v>0</v>
      </c>
    </row>
    <row r="638" spans="1:15">
      <c r="A638" s="29"/>
      <c r="B638" s="175"/>
      <c r="D638" s="29"/>
      <c r="H638" s="29"/>
      <c r="I638" s="29"/>
      <c r="M638" s="72">
        <f t="shared" si="14"/>
        <v>0</v>
      </c>
    </row>
    <row r="639" spans="1:15">
      <c r="A639" s="29"/>
      <c r="D639" s="29"/>
      <c r="E639" s="29"/>
      <c r="H639" s="29"/>
      <c r="I639" s="29"/>
      <c r="M639" s="72">
        <f t="shared" si="14"/>
        <v>0</v>
      </c>
    </row>
    <row r="640" spans="1:15">
      <c r="A640" s="29"/>
      <c r="C640" s="107" t="s">
        <v>244</v>
      </c>
      <c r="G640" s="31"/>
      <c r="I640" s="29"/>
      <c r="M640" s="72">
        <f t="shared" si="14"/>
        <v>0</v>
      </c>
    </row>
    <row r="641" spans="1:16">
      <c r="A641" s="29">
        <f>1</f>
        <v>1</v>
      </c>
      <c r="C641" s="28" t="s">
        <v>245</v>
      </c>
      <c r="D641" s="31">
        <f>6</f>
        <v>6</v>
      </c>
      <c r="E641" s="73">
        <f>3.6</f>
        <v>3.6</v>
      </c>
      <c r="F641" s="72">
        <v>21.6</v>
      </c>
      <c r="G641" s="31">
        <v>19.2</v>
      </c>
      <c r="H641" s="31" t="e">
        <f>NA()</f>
        <v>#N/A</v>
      </c>
      <c r="I641" s="31" t="e">
        <f>NA()</f>
        <v>#N/A</v>
      </c>
      <c r="J641" s="31" t="e">
        <f>NA()</f>
        <v>#N/A</v>
      </c>
      <c r="L641" s="115"/>
      <c r="M641" s="72" t="e">
        <f t="shared" si="14"/>
        <v>#N/A</v>
      </c>
      <c r="O641" s="117"/>
    </row>
    <row r="642" spans="1:16">
      <c r="A642" s="29">
        <f t="shared" ref="A642:A648" si="15">1+A641</f>
        <v>2</v>
      </c>
      <c r="B642" s="175"/>
      <c r="C642" s="28" t="s">
        <v>118</v>
      </c>
      <c r="D642" s="31">
        <f>4.2</f>
        <v>4.2</v>
      </c>
      <c r="E642" s="73">
        <f>1.8</f>
        <v>1.8</v>
      </c>
      <c r="F642" s="72">
        <v>7.6</v>
      </c>
      <c r="G642" s="31">
        <v>12</v>
      </c>
      <c r="H642" s="31" t="e">
        <f>NA()</f>
        <v>#N/A</v>
      </c>
      <c r="I642" s="31" t="e">
        <f>NA()</f>
        <v>#N/A</v>
      </c>
      <c r="J642" s="31" t="e">
        <f>NA()</f>
        <v>#N/A</v>
      </c>
      <c r="K642" s="114" t="e">
        <f>H642-(I642+J642)</f>
        <v>#N/A</v>
      </c>
      <c r="L642" s="115"/>
      <c r="M642" s="72" t="e">
        <f t="shared" si="14"/>
        <v>#N/A</v>
      </c>
      <c r="O642" s="117"/>
    </row>
    <row r="643" spans="1:16">
      <c r="A643" s="29">
        <f t="shared" si="15"/>
        <v>3</v>
      </c>
      <c r="C643" s="116" t="s">
        <v>246</v>
      </c>
      <c r="D643" s="117">
        <f>5.9</f>
        <v>5.9</v>
      </c>
      <c r="E643" s="118">
        <f>3</f>
        <v>3</v>
      </c>
      <c r="F643" s="72">
        <v>17.899999999999999</v>
      </c>
      <c r="G643" s="31">
        <v>17.8</v>
      </c>
      <c r="H643" s="117" t="e">
        <f>NA()</f>
        <v>#N/A</v>
      </c>
      <c r="I643" s="117" t="e">
        <f>NA()</f>
        <v>#N/A</v>
      </c>
      <c r="J643" s="117" t="e">
        <f>NA()</f>
        <v>#N/A</v>
      </c>
      <c r="L643" s="117" t="e">
        <f>H643-(I643+J643)</f>
        <v>#N/A</v>
      </c>
      <c r="M643" s="72" t="e">
        <f t="shared" si="14"/>
        <v>#N/A</v>
      </c>
      <c r="O643" s="117"/>
    </row>
    <row r="644" spans="1:16">
      <c r="A644" s="29">
        <f t="shared" si="15"/>
        <v>4</v>
      </c>
      <c r="C644" s="116" t="s">
        <v>246</v>
      </c>
      <c r="D644" s="117">
        <f>4.2</f>
        <v>4.2</v>
      </c>
      <c r="E644" s="118">
        <f>4</f>
        <v>4</v>
      </c>
      <c r="F644" s="72">
        <v>16.3</v>
      </c>
      <c r="G644" s="31">
        <v>16.399999999999999</v>
      </c>
      <c r="H644" s="117" t="e">
        <f>NA()</f>
        <v>#N/A</v>
      </c>
      <c r="I644" s="117" t="e">
        <f>NA()</f>
        <v>#N/A</v>
      </c>
      <c r="J644" s="117"/>
      <c r="L644" s="117" t="e">
        <f>H644-(I644+J644)</f>
        <v>#N/A</v>
      </c>
      <c r="M644" s="72" t="e">
        <f t="shared" si="14"/>
        <v>#N/A</v>
      </c>
      <c r="O644" s="117"/>
    </row>
    <row r="645" spans="1:16">
      <c r="A645" s="29">
        <f t="shared" si="15"/>
        <v>5</v>
      </c>
      <c r="C645" s="28" t="s">
        <v>247</v>
      </c>
      <c r="D645" s="31">
        <f>4</f>
        <v>4</v>
      </c>
      <c r="E645" s="31">
        <f>3.65</f>
        <v>3.65</v>
      </c>
      <c r="F645" s="72">
        <v>14.6</v>
      </c>
      <c r="G645" s="31">
        <v>15.3</v>
      </c>
      <c r="H645" s="31" t="e">
        <f>NA()</f>
        <v>#N/A</v>
      </c>
      <c r="I645" s="31" t="e">
        <f>NA()</f>
        <v>#N/A</v>
      </c>
      <c r="J645" s="117"/>
      <c r="K645" s="114" t="e">
        <f>H645-(I645+J645)</f>
        <v>#N/A</v>
      </c>
      <c r="L645" s="115"/>
      <c r="M645" s="72" t="e">
        <f t="shared" si="14"/>
        <v>#N/A</v>
      </c>
      <c r="O645" s="117"/>
    </row>
    <row r="646" spans="1:16">
      <c r="A646" s="29">
        <f t="shared" si="15"/>
        <v>6</v>
      </c>
      <c r="C646" s="28" t="s">
        <v>248</v>
      </c>
      <c r="D646" s="31">
        <f>4</f>
        <v>4</v>
      </c>
      <c r="E646" s="124">
        <f>2.475</f>
        <v>2.4750000000000001</v>
      </c>
      <c r="F646" s="72">
        <v>9.9</v>
      </c>
      <c r="G646" s="31">
        <v>12.95</v>
      </c>
      <c r="H646" s="31" t="e">
        <f>NA()</f>
        <v>#N/A</v>
      </c>
      <c r="I646" s="31" t="e">
        <f>NA()</f>
        <v>#N/A</v>
      </c>
      <c r="J646" s="109"/>
      <c r="K646" s="114" t="e">
        <f>H646-(I646+J646)</f>
        <v>#N/A</v>
      </c>
      <c r="L646" s="115"/>
      <c r="M646" s="72" t="e">
        <f t="shared" si="14"/>
        <v>#N/A</v>
      </c>
      <c r="O646" s="72"/>
    </row>
    <row r="647" spans="1:16">
      <c r="A647" s="29">
        <f t="shared" si="15"/>
        <v>7</v>
      </c>
      <c r="C647" s="116" t="s">
        <v>249</v>
      </c>
      <c r="D647" s="117">
        <f>6.1</f>
        <v>6.1</v>
      </c>
      <c r="E647" s="118">
        <f>4</f>
        <v>4</v>
      </c>
      <c r="F647" s="72">
        <v>24</v>
      </c>
      <c r="G647" s="31">
        <v>20.2</v>
      </c>
      <c r="H647" s="117" t="e">
        <f>NA()</f>
        <v>#N/A</v>
      </c>
      <c r="I647" s="117" t="e">
        <f>NA()</f>
        <v>#N/A</v>
      </c>
      <c r="J647" s="117" t="e">
        <f>NA()</f>
        <v>#N/A</v>
      </c>
      <c r="L647" s="117" t="e">
        <f>H647-(I647+J647)</f>
        <v>#N/A</v>
      </c>
      <c r="M647" s="72" t="e">
        <f t="shared" si="14"/>
        <v>#N/A</v>
      </c>
      <c r="O647" s="117"/>
    </row>
    <row r="648" spans="1:16">
      <c r="A648" s="29">
        <f t="shared" si="15"/>
        <v>8</v>
      </c>
      <c r="C648" s="116" t="s">
        <v>250</v>
      </c>
      <c r="D648" s="117">
        <f>6.1</f>
        <v>6.1</v>
      </c>
      <c r="E648" s="122">
        <f>3.075</f>
        <v>3.0750000000000002</v>
      </c>
      <c r="F648" s="72">
        <v>18.45</v>
      </c>
      <c r="G648" s="31">
        <v>18.350000000000001</v>
      </c>
      <c r="H648" s="117" t="e">
        <f>NA()</f>
        <v>#N/A</v>
      </c>
      <c r="I648" s="117" t="e">
        <f>NA()</f>
        <v>#N/A</v>
      </c>
      <c r="J648" s="117" t="e">
        <f>NA()</f>
        <v>#N/A</v>
      </c>
      <c r="L648" s="117" t="e">
        <f>H648-(I648+J648)</f>
        <v>#N/A</v>
      </c>
      <c r="M648" s="72" t="e">
        <f t="shared" si="14"/>
        <v>#N/A</v>
      </c>
      <c r="O648" s="117"/>
    </row>
    <row r="649" spans="1:16">
      <c r="G649" s="31"/>
      <c r="I649" s="29"/>
      <c r="M649" s="72">
        <f t="shared" si="14"/>
        <v>0</v>
      </c>
    </row>
    <row r="650" spans="1:16">
      <c r="A650" s="31">
        <f>2*(D650+E650)+(D651*2+E651)+2*(D652+E652)</f>
        <v>286.7</v>
      </c>
      <c r="C650" s="28" t="e">
        <f>#REF!</f>
        <v>#REF!</v>
      </c>
      <c r="D650" s="125">
        <f>65.9</f>
        <v>65.900000000000006</v>
      </c>
      <c r="E650" s="72">
        <f>15.55</f>
        <v>15.55</v>
      </c>
      <c r="F650" s="72">
        <v>1259.3499999999999</v>
      </c>
      <c r="G650" s="72">
        <v>1224.1412767425811</v>
      </c>
      <c r="H650" s="72" t="e">
        <f>NA()</f>
        <v>#N/A</v>
      </c>
      <c r="I650" s="126" t="e">
        <f>NA()</f>
        <v>#N/A</v>
      </c>
      <c r="J650" s="127" t="e">
        <f>NA()</f>
        <v>#N/A</v>
      </c>
      <c r="K650" s="128" t="e">
        <f>SUM(K532:K648)</f>
        <v>#N/A</v>
      </c>
      <c r="L650" s="106" t="e">
        <f>SUM(L532:L648)</f>
        <v>#N/A</v>
      </c>
      <c r="M650" s="72" t="e">
        <f t="shared" si="14"/>
        <v>#N/A</v>
      </c>
      <c r="O650" s="117"/>
      <c r="P650" s="117"/>
    </row>
    <row r="651" spans="1:16">
      <c r="A651" s="31"/>
      <c r="C651" s="129"/>
      <c r="D651" s="125">
        <f>25</f>
        <v>25</v>
      </c>
      <c r="E651" s="73">
        <f>12</f>
        <v>12</v>
      </c>
      <c r="F651" s="31">
        <v>1474.9449999999999</v>
      </c>
      <c r="G651" s="81"/>
      <c r="H651" s="81" t="e">
        <f>NA()</f>
        <v>#N/A</v>
      </c>
      <c r="I651" s="81"/>
      <c r="J651" s="108"/>
      <c r="K651" s="109">
        <f>18*(7+7)+8*(4.5+4.5)+(9+9)*70+10*1</f>
        <v>1594</v>
      </c>
      <c r="L651" s="117"/>
      <c r="M651" s="72"/>
      <c r="O651" s="117"/>
      <c r="P651" s="117"/>
    </row>
    <row r="652" spans="1:16">
      <c r="A652" s="31"/>
      <c r="D652" s="125">
        <f>18</f>
        <v>18</v>
      </c>
      <c r="E652" s="73">
        <f>12.9</f>
        <v>12.9</v>
      </c>
      <c r="F652" s="81">
        <v>564.6</v>
      </c>
      <c r="G652" s="81">
        <v>467.04</v>
      </c>
      <c r="H652" s="81"/>
      <c r="I652" s="81"/>
      <c r="J652" s="81"/>
      <c r="K652" s="109">
        <f>(D652*E652-8.65*6.4)*1.15</f>
        <v>203.36599999999999</v>
      </c>
      <c r="L652" s="115"/>
      <c r="M652" s="72"/>
      <c r="O652" s="117"/>
      <c r="P652" s="117"/>
    </row>
    <row r="653" spans="1:16">
      <c r="A653" s="31"/>
      <c r="C653" s="129"/>
      <c r="E653" s="130"/>
      <c r="F653" s="131">
        <v>323.52</v>
      </c>
      <c r="G653" s="131">
        <v>389.4</v>
      </c>
      <c r="H653" s="132" t="e">
        <f>NA()</f>
        <v>#N/A</v>
      </c>
      <c r="I653" s="81"/>
      <c r="J653" s="81"/>
      <c r="K653" s="109"/>
      <c r="L653" s="115"/>
      <c r="M653" s="72"/>
      <c r="O653" s="117"/>
      <c r="P653" s="117"/>
    </row>
    <row r="654" spans="1:16">
      <c r="A654" s="31"/>
      <c r="C654" s="129"/>
      <c r="G654" s="31"/>
      <c r="H654" s="81"/>
      <c r="I654" s="81"/>
      <c r="J654" s="81"/>
      <c r="K654" s="109"/>
      <c r="L654" s="115"/>
      <c r="M654" s="72">
        <f>H654-(I654+J654+K654+L654)</f>
        <v>0</v>
      </c>
      <c r="O654" s="117"/>
      <c r="P654" s="117"/>
    </row>
    <row r="655" spans="1:16">
      <c r="A655" s="31"/>
      <c r="C655" s="129"/>
      <c r="F655" s="72"/>
      <c r="H655" s="81"/>
      <c r="I655" s="81"/>
      <c r="J655" s="81"/>
      <c r="K655" s="109"/>
      <c r="L655" s="115"/>
      <c r="M655" s="72">
        <f>H655-(I655+J655+K655+L655)</f>
        <v>0</v>
      </c>
      <c r="O655" s="117"/>
      <c r="P655" s="117"/>
    </row>
    <row r="656" spans="1:16">
      <c r="A656" s="31"/>
      <c r="C656" s="129"/>
      <c r="G656" s="31"/>
      <c r="H656" s="81"/>
      <c r="I656" s="81"/>
      <c r="J656" s="81"/>
      <c r="K656" s="109"/>
      <c r="L656" s="115"/>
      <c r="M656" s="72">
        <f>H656-(I656+J656+K656+L656)</f>
        <v>0</v>
      </c>
      <c r="O656" s="117"/>
      <c r="P656" s="117"/>
    </row>
    <row r="657" spans="1:15">
      <c r="C657" s="28" t="s">
        <v>251</v>
      </c>
      <c r="G657" s="31"/>
      <c r="H657" s="29"/>
      <c r="I657" s="81">
        <v>3.4</v>
      </c>
      <c r="L657" s="72"/>
      <c r="M657" s="72"/>
      <c r="O657" s="72"/>
    </row>
    <row r="658" spans="1:15">
      <c r="C658" s="107" t="s">
        <v>252</v>
      </c>
      <c r="G658" s="31"/>
      <c r="H658" s="29"/>
      <c r="I658" s="133">
        <v>2.8</v>
      </c>
      <c r="L658" s="72"/>
      <c r="M658" s="72"/>
      <c r="O658" s="72"/>
    </row>
    <row r="659" spans="1:15">
      <c r="A659" s="28" t="s">
        <v>117</v>
      </c>
      <c r="C659" s="28" t="s">
        <v>120</v>
      </c>
      <c r="D659" s="31">
        <f>10.5</f>
        <v>10.5</v>
      </c>
      <c r="E659" s="73">
        <f>5</f>
        <v>5</v>
      </c>
      <c r="F659" s="72">
        <v>52.45</v>
      </c>
      <c r="G659" s="31">
        <v>31</v>
      </c>
      <c r="H659" s="31">
        <v>86.8</v>
      </c>
      <c r="I659" s="31">
        <v>11.2</v>
      </c>
      <c r="J659" s="31">
        <v>75.599999999999994</v>
      </c>
      <c r="K659" s="114">
        <f>H659-(I659+J659)</f>
        <v>0</v>
      </c>
      <c r="L659" s="72"/>
      <c r="M659" s="72">
        <f t="shared" ref="M659:M666" si="16">H659-(I659+J659+K659+L659)</f>
        <v>0</v>
      </c>
      <c r="O659" s="72"/>
    </row>
    <row r="660" spans="1:15">
      <c r="A660" s="28" t="s">
        <v>119</v>
      </c>
      <c r="C660" s="28" t="s">
        <v>122</v>
      </c>
      <c r="D660" s="31"/>
      <c r="E660" s="73"/>
      <c r="F660" s="72"/>
      <c r="G660" s="31"/>
      <c r="J660" s="31"/>
      <c r="L660" s="72"/>
      <c r="M660" s="72">
        <f t="shared" si="16"/>
        <v>0</v>
      </c>
      <c r="O660" s="72"/>
    </row>
    <row r="661" spans="1:15">
      <c r="A661" s="28" t="s">
        <v>121</v>
      </c>
      <c r="C661" s="28" t="s">
        <v>124</v>
      </c>
      <c r="D661" s="31">
        <f>4.2</f>
        <v>4.2</v>
      </c>
      <c r="E661" s="73">
        <f>3.45</f>
        <v>3.45</v>
      </c>
      <c r="F661" s="72">
        <v>14.5</v>
      </c>
      <c r="G661" s="31">
        <v>15.3</v>
      </c>
      <c r="H661" s="31">
        <v>42.84</v>
      </c>
      <c r="I661" s="31">
        <v>9.66</v>
      </c>
      <c r="J661" s="31">
        <v>23.52</v>
      </c>
      <c r="K661" s="114">
        <f>H661-(I661+J661)</f>
        <v>9.6600000000000037</v>
      </c>
      <c r="L661" s="115"/>
      <c r="M661" s="72">
        <f t="shared" si="16"/>
        <v>0</v>
      </c>
      <c r="O661" s="72"/>
    </row>
    <row r="662" spans="1:15">
      <c r="A662" s="28" t="s">
        <v>123</v>
      </c>
      <c r="C662" s="28" t="s">
        <v>126</v>
      </c>
      <c r="D662" s="31">
        <f>F662/E662</f>
        <v>10.55</v>
      </c>
      <c r="E662" s="73">
        <f>2</f>
        <v>2</v>
      </c>
      <c r="F662" s="72">
        <v>21.1</v>
      </c>
      <c r="G662" s="31">
        <v>25.1</v>
      </c>
      <c r="H662" s="31">
        <v>70.28</v>
      </c>
      <c r="J662" s="31"/>
      <c r="K662" s="114">
        <f>H662-(I662+J662)</f>
        <v>70.28</v>
      </c>
      <c r="L662" s="115"/>
      <c r="M662" s="72">
        <f t="shared" si="16"/>
        <v>0</v>
      </c>
      <c r="O662" s="72"/>
    </row>
    <row r="663" spans="1:15">
      <c r="A663" s="28" t="s">
        <v>125</v>
      </c>
      <c r="C663" s="28" t="s">
        <v>126</v>
      </c>
      <c r="D663" s="31">
        <f>27</f>
        <v>27</v>
      </c>
      <c r="E663" s="73">
        <f>4</f>
        <v>4</v>
      </c>
      <c r="F663" s="72">
        <v>65.55</v>
      </c>
      <c r="G663" s="31">
        <v>62</v>
      </c>
      <c r="H663" s="31">
        <v>173.6</v>
      </c>
      <c r="I663" s="31">
        <v>11.2</v>
      </c>
      <c r="J663" s="31">
        <v>11.2</v>
      </c>
      <c r="K663" s="114">
        <f>H663-(I663+J663)</f>
        <v>151.19999999999999</v>
      </c>
      <c r="L663" s="115"/>
      <c r="M663" s="72">
        <f t="shared" si="16"/>
        <v>0</v>
      </c>
      <c r="O663" s="72"/>
    </row>
    <row r="664" spans="1:15">
      <c r="A664" s="28" t="s">
        <v>127</v>
      </c>
      <c r="C664" s="28" t="s">
        <v>126</v>
      </c>
      <c r="D664" s="31">
        <f>36</f>
        <v>36</v>
      </c>
      <c r="E664" s="73">
        <f>4</f>
        <v>4</v>
      </c>
      <c r="F664" s="72">
        <v>77.45</v>
      </c>
      <c r="G664" s="31">
        <v>80</v>
      </c>
      <c r="H664" s="31">
        <v>224</v>
      </c>
      <c r="I664" s="31">
        <v>11.2</v>
      </c>
      <c r="J664" s="31">
        <v>11.2</v>
      </c>
      <c r="K664" s="114">
        <f>H664-(I664+J664)</f>
        <v>201.6</v>
      </c>
      <c r="L664" s="115"/>
      <c r="M664" s="72">
        <f t="shared" si="16"/>
        <v>0</v>
      </c>
      <c r="O664" s="72"/>
    </row>
    <row r="665" spans="1:15">
      <c r="A665" s="28" t="s">
        <v>128</v>
      </c>
      <c r="C665" s="28" t="s">
        <v>253</v>
      </c>
      <c r="D665" s="31">
        <f>6.35</f>
        <v>6.35</v>
      </c>
      <c r="E665" s="73">
        <f>2.5</f>
        <v>2.5</v>
      </c>
      <c r="F665" s="72">
        <v>5.8</v>
      </c>
      <c r="G665" s="31">
        <v>17.7</v>
      </c>
      <c r="H665" s="31">
        <v>49.56</v>
      </c>
      <c r="I665" s="31">
        <v>24.78</v>
      </c>
      <c r="J665" s="31">
        <v>24.78</v>
      </c>
      <c r="K665" s="114">
        <f>H665-(I665+J665)</f>
        <v>0</v>
      </c>
      <c r="L665" s="115"/>
      <c r="M665" s="72">
        <f t="shared" si="16"/>
        <v>0</v>
      </c>
      <c r="O665" s="72"/>
    </row>
    <row r="666" spans="1:15">
      <c r="A666" s="28" t="s">
        <v>129</v>
      </c>
      <c r="C666" s="28" t="s">
        <v>254</v>
      </c>
      <c r="D666" s="73">
        <f>7</f>
        <v>7</v>
      </c>
      <c r="E666" s="73">
        <f>3</f>
        <v>3</v>
      </c>
      <c r="F666" s="72">
        <v>23.1</v>
      </c>
      <c r="G666" s="31">
        <v>20</v>
      </c>
      <c r="H666" s="31">
        <v>40</v>
      </c>
      <c r="I666" s="31">
        <v>12</v>
      </c>
      <c r="J666" s="31">
        <v>28</v>
      </c>
      <c r="K666" s="114"/>
      <c r="L666" s="72"/>
      <c r="M666" s="72">
        <f t="shared" si="16"/>
        <v>0</v>
      </c>
      <c r="O666" s="72"/>
    </row>
    <row r="667" spans="1:15">
      <c r="C667" s="28"/>
      <c r="D667" s="73"/>
      <c r="E667" s="73"/>
      <c r="F667" s="72"/>
      <c r="G667" s="31"/>
      <c r="J667" s="31"/>
      <c r="K667" s="114"/>
      <c r="L667" s="72"/>
      <c r="M667" s="72"/>
      <c r="O667" s="72"/>
    </row>
    <row r="668" spans="1:15">
      <c r="A668" s="29"/>
      <c r="C668" s="107" t="s">
        <v>255</v>
      </c>
      <c r="D668" s="73"/>
      <c r="E668" s="73"/>
      <c r="G668" s="31"/>
      <c r="J668" s="109"/>
      <c r="L668" s="72"/>
      <c r="M668" s="72">
        <f t="shared" ref="M668:M699" si="17">H668-(I668+J668+K668+L668)</f>
        <v>0</v>
      </c>
      <c r="O668" s="72"/>
    </row>
    <row r="669" spans="1:15">
      <c r="A669" s="28" t="s">
        <v>196</v>
      </c>
      <c r="C669" s="28" t="s">
        <v>256</v>
      </c>
      <c r="D669" s="31">
        <f>7.6</f>
        <v>7.6</v>
      </c>
      <c r="E669" s="73">
        <f>6.2</f>
        <v>6.2</v>
      </c>
      <c r="F669" s="72">
        <v>47.9</v>
      </c>
      <c r="G669" s="31">
        <v>27.6</v>
      </c>
      <c r="H669" s="31">
        <v>93.84</v>
      </c>
      <c r="I669" s="31">
        <v>46.92</v>
      </c>
      <c r="J669" s="31"/>
      <c r="K669" s="114">
        <f t="shared" ref="K669:K676" si="18">H669-(I669+J669)</f>
        <v>46.92</v>
      </c>
      <c r="L669" s="115"/>
      <c r="M669" s="72">
        <f t="shared" si="17"/>
        <v>0</v>
      </c>
      <c r="O669" s="72"/>
    </row>
    <row r="670" spans="1:15">
      <c r="A670" s="28" t="s">
        <v>198</v>
      </c>
      <c r="C670" s="116" t="s">
        <v>257</v>
      </c>
      <c r="D670" s="117">
        <f>6.2</f>
        <v>6.2</v>
      </c>
      <c r="E670" s="118">
        <f>4</f>
        <v>4</v>
      </c>
      <c r="F670" s="72">
        <v>25.2</v>
      </c>
      <c r="G670" s="31">
        <v>20.399999999999999</v>
      </c>
      <c r="H670" s="117">
        <v>69.36</v>
      </c>
      <c r="I670" s="117">
        <v>34.68</v>
      </c>
      <c r="J670" s="31"/>
      <c r="K670" s="114">
        <f t="shared" si="18"/>
        <v>34.68</v>
      </c>
      <c r="L670" s="115"/>
      <c r="M670" s="72">
        <f t="shared" si="17"/>
        <v>0</v>
      </c>
      <c r="O670" s="72"/>
    </row>
    <row r="671" spans="1:15">
      <c r="A671" s="28" t="s">
        <v>200</v>
      </c>
      <c r="C671" s="28" t="s">
        <v>258</v>
      </c>
      <c r="D671" s="31">
        <f>F671/E671</f>
        <v>4.7</v>
      </c>
      <c r="E671" s="73">
        <f>3</f>
        <v>3</v>
      </c>
      <c r="F671" s="72">
        <v>14.1</v>
      </c>
      <c r="G671" s="31">
        <v>15.4</v>
      </c>
      <c r="H671" s="31">
        <v>52.36</v>
      </c>
      <c r="I671" s="31">
        <v>10.199999999999999</v>
      </c>
      <c r="J671" s="31"/>
      <c r="K671" s="114">
        <f t="shared" si="18"/>
        <v>42.16</v>
      </c>
      <c r="L671" s="115"/>
      <c r="M671" s="72">
        <f t="shared" si="17"/>
        <v>0</v>
      </c>
      <c r="O671" s="72"/>
    </row>
    <row r="672" spans="1:15">
      <c r="A672" s="28" t="s">
        <v>201</v>
      </c>
      <c r="C672" s="28" t="s">
        <v>258</v>
      </c>
      <c r="D672" s="31">
        <f>F672/E672</f>
        <v>4.7</v>
      </c>
      <c r="E672" s="73">
        <f>3</f>
        <v>3</v>
      </c>
      <c r="F672" s="72">
        <v>14.1</v>
      </c>
      <c r="G672" s="31">
        <v>15.4</v>
      </c>
      <c r="H672" s="31">
        <v>52.36</v>
      </c>
      <c r="I672" s="31">
        <v>10.199999999999999</v>
      </c>
      <c r="J672" s="31"/>
      <c r="K672" s="114">
        <f t="shared" si="18"/>
        <v>42.16</v>
      </c>
      <c r="L672" s="115"/>
      <c r="M672" s="72">
        <f t="shared" si="17"/>
        <v>0</v>
      </c>
      <c r="O672" s="72"/>
    </row>
    <row r="673" spans="1:15">
      <c r="A673" s="28" t="s">
        <v>203</v>
      </c>
      <c r="C673" s="28" t="s">
        <v>258</v>
      </c>
      <c r="D673" s="31">
        <f>F673/E673</f>
        <v>4.7</v>
      </c>
      <c r="E673" s="73">
        <f>3</f>
        <v>3</v>
      </c>
      <c r="F673" s="72">
        <v>14.1</v>
      </c>
      <c r="G673" s="31">
        <v>15.4</v>
      </c>
      <c r="H673" s="31">
        <v>52.36</v>
      </c>
      <c r="I673" s="31">
        <v>10.199999999999999</v>
      </c>
      <c r="J673" s="31"/>
      <c r="K673" s="114">
        <f t="shared" si="18"/>
        <v>42.16</v>
      </c>
      <c r="L673" s="115"/>
      <c r="M673" s="72">
        <f t="shared" si="17"/>
        <v>0</v>
      </c>
      <c r="O673" s="72"/>
    </row>
    <row r="674" spans="1:15">
      <c r="A674" s="28" t="s">
        <v>259</v>
      </c>
      <c r="C674" s="28" t="s">
        <v>258</v>
      </c>
      <c r="D674" s="31">
        <f>F674/E674</f>
        <v>4.7</v>
      </c>
      <c r="E674" s="73">
        <f>3</f>
        <v>3</v>
      </c>
      <c r="F674" s="72">
        <v>14.1</v>
      </c>
      <c r="G674" s="31">
        <v>15.4</v>
      </c>
      <c r="H674" s="31">
        <v>52.36</v>
      </c>
      <c r="I674" s="31">
        <v>10.199999999999999</v>
      </c>
      <c r="J674" s="31"/>
      <c r="K674" s="114">
        <f t="shared" si="18"/>
        <v>42.16</v>
      </c>
      <c r="L674" s="115"/>
      <c r="M674" s="72">
        <f t="shared" si="17"/>
        <v>0</v>
      </c>
      <c r="O674" s="72"/>
    </row>
    <row r="675" spans="1:15">
      <c r="A675" s="28" t="s">
        <v>260</v>
      </c>
      <c r="C675" s="28" t="s">
        <v>261</v>
      </c>
      <c r="D675" s="31">
        <f>4.7</f>
        <v>4.7</v>
      </c>
      <c r="E675" s="73">
        <f>4</f>
        <v>4</v>
      </c>
      <c r="F675" s="72">
        <v>17.850000000000001</v>
      </c>
      <c r="G675" s="31">
        <v>17.399999999999999</v>
      </c>
      <c r="H675" s="31">
        <v>59.16</v>
      </c>
      <c r="I675" s="31">
        <v>21.59</v>
      </c>
      <c r="J675" s="31">
        <v>13.6</v>
      </c>
      <c r="K675" s="114">
        <f t="shared" si="18"/>
        <v>23.97</v>
      </c>
      <c r="L675" s="115"/>
      <c r="M675" s="72">
        <f t="shared" si="17"/>
        <v>0</v>
      </c>
      <c r="O675" s="72"/>
    </row>
    <row r="676" spans="1:15">
      <c r="A676" s="28" t="s">
        <v>262</v>
      </c>
      <c r="C676" s="28" t="s">
        <v>263</v>
      </c>
      <c r="D676" s="31">
        <f>4.7</f>
        <v>4.7</v>
      </c>
      <c r="E676" s="73">
        <f>4</f>
        <v>4</v>
      </c>
      <c r="F676" s="72">
        <v>18.8</v>
      </c>
      <c r="G676" s="31">
        <v>17.399999999999999</v>
      </c>
      <c r="H676" s="31">
        <v>59.16</v>
      </c>
      <c r="I676" s="31">
        <v>21.59</v>
      </c>
      <c r="J676" s="31">
        <v>7.99</v>
      </c>
      <c r="K676" s="114">
        <f t="shared" si="18"/>
        <v>29.58</v>
      </c>
      <c r="L676" s="115"/>
      <c r="M676" s="72">
        <f t="shared" si="17"/>
        <v>0</v>
      </c>
      <c r="O676" s="72"/>
    </row>
    <row r="677" spans="1:15">
      <c r="A677" s="28" t="s">
        <v>264</v>
      </c>
      <c r="B677" s="175"/>
      <c r="C677" s="116" t="s">
        <v>132</v>
      </c>
      <c r="D677" s="117">
        <f>2.3</f>
        <v>2.2999999999999998</v>
      </c>
      <c r="E677" s="118">
        <f>1.3</f>
        <v>1.3</v>
      </c>
      <c r="F677" s="72">
        <v>3</v>
      </c>
      <c r="G677" s="31">
        <v>7.2</v>
      </c>
      <c r="H677" s="117">
        <v>20.16</v>
      </c>
      <c r="I677" s="117">
        <v>3.64</v>
      </c>
      <c r="J677" s="117">
        <v>6.44</v>
      </c>
      <c r="L677" s="117">
        <f>H677-(I677+J677+K677)</f>
        <v>10.08</v>
      </c>
      <c r="M677" s="72">
        <f t="shared" si="17"/>
        <v>0</v>
      </c>
      <c r="O677" s="117"/>
    </row>
    <row r="678" spans="1:15">
      <c r="A678" s="28" t="s">
        <v>265</v>
      </c>
      <c r="C678" s="116" t="s">
        <v>266</v>
      </c>
      <c r="D678" s="134">
        <f>2.375</f>
        <v>2.375</v>
      </c>
      <c r="E678" s="122">
        <f>2.025</f>
        <v>2.0249999999999999</v>
      </c>
      <c r="F678" s="72">
        <v>4.8</v>
      </c>
      <c r="G678" s="31">
        <v>8.8000000000000007</v>
      </c>
      <c r="H678" s="117">
        <v>24.64</v>
      </c>
      <c r="I678" s="117">
        <v>5.67</v>
      </c>
      <c r="J678" s="117">
        <v>6.65</v>
      </c>
      <c r="L678" s="117">
        <f>H678-(I678+J678+K678)</f>
        <v>12.32</v>
      </c>
      <c r="M678" s="72">
        <f t="shared" si="17"/>
        <v>0</v>
      </c>
      <c r="O678" s="117"/>
    </row>
    <row r="679" spans="1:15">
      <c r="A679" s="29"/>
      <c r="C679" s="107" t="s">
        <v>267</v>
      </c>
      <c r="D679" s="117"/>
      <c r="E679" s="118"/>
      <c r="G679" s="31"/>
      <c r="H679" s="117"/>
      <c r="I679" s="29"/>
      <c r="J679" s="117"/>
      <c r="L679" s="115"/>
      <c r="M679" s="72">
        <f t="shared" si="17"/>
        <v>0</v>
      </c>
      <c r="O679" s="117"/>
    </row>
    <row r="680" spans="1:15">
      <c r="A680" s="28" t="s">
        <v>268</v>
      </c>
      <c r="C680" s="28" t="s">
        <v>269</v>
      </c>
      <c r="D680" s="31">
        <f>8.5</f>
        <v>8.5</v>
      </c>
      <c r="E680" s="73">
        <f>3.6</f>
        <v>3.6</v>
      </c>
      <c r="F680" s="72">
        <v>27.65</v>
      </c>
      <c r="G680" s="31">
        <v>24.2</v>
      </c>
      <c r="H680" s="31">
        <v>67.760000000000005</v>
      </c>
      <c r="I680" s="31">
        <v>10.08</v>
      </c>
      <c r="J680" s="31"/>
      <c r="K680" s="114">
        <f>H680-(I680+J680)</f>
        <v>57.680000000000007</v>
      </c>
      <c r="L680" s="115"/>
      <c r="M680" s="72">
        <f t="shared" si="17"/>
        <v>0</v>
      </c>
      <c r="O680" s="72"/>
    </row>
    <row r="681" spans="1:15">
      <c r="A681" s="28" t="s">
        <v>270</v>
      </c>
      <c r="C681" s="28" t="s">
        <v>271</v>
      </c>
      <c r="D681" s="31">
        <f>2</f>
        <v>2</v>
      </c>
      <c r="E681" s="73">
        <f>2</f>
        <v>2</v>
      </c>
      <c r="F681" s="72">
        <v>4</v>
      </c>
      <c r="G681" s="31">
        <v>8</v>
      </c>
      <c r="H681" s="31">
        <v>22.4</v>
      </c>
      <c r="I681" s="31">
        <v>5.6</v>
      </c>
      <c r="J681" s="31">
        <v>11.2</v>
      </c>
      <c r="K681" s="114">
        <f>H681-(I681+J681)</f>
        <v>5.6000000000000014</v>
      </c>
      <c r="L681" s="115"/>
      <c r="M681" s="72">
        <f t="shared" si="17"/>
        <v>0</v>
      </c>
      <c r="O681" s="72"/>
    </row>
    <row r="682" spans="1:15">
      <c r="A682" s="28" t="s">
        <v>272</v>
      </c>
      <c r="C682" s="28" t="s">
        <v>271</v>
      </c>
      <c r="D682" s="31">
        <f>2</f>
        <v>2</v>
      </c>
      <c r="E682" s="124">
        <f>F682/D682</f>
        <v>1.875</v>
      </c>
      <c r="F682" s="72">
        <v>3.75</v>
      </c>
      <c r="G682" s="31">
        <v>7.75</v>
      </c>
      <c r="H682" s="31">
        <v>21.7</v>
      </c>
      <c r="J682" s="31">
        <v>10.85</v>
      </c>
      <c r="K682" s="114">
        <f>H682-(I682+J682)</f>
        <v>10.85</v>
      </c>
      <c r="L682" s="115"/>
      <c r="M682" s="72">
        <f t="shared" si="17"/>
        <v>0</v>
      </c>
      <c r="O682" s="72"/>
    </row>
    <row r="683" spans="1:15">
      <c r="A683" s="29"/>
      <c r="C683" s="107" t="s">
        <v>273</v>
      </c>
      <c r="D683" s="108"/>
      <c r="E683" s="73"/>
      <c r="J683" s="109"/>
      <c r="L683" s="115"/>
      <c r="M683" s="72">
        <f t="shared" si="17"/>
        <v>0</v>
      </c>
      <c r="O683" s="72"/>
    </row>
    <row r="684" spans="1:15">
      <c r="A684" s="28" t="s">
        <v>274</v>
      </c>
      <c r="C684" s="116" t="s">
        <v>275</v>
      </c>
      <c r="D684" s="117">
        <f>4.32</f>
        <v>4.32</v>
      </c>
      <c r="E684" s="122">
        <f>2.825</f>
        <v>2.8250000000000002</v>
      </c>
      <c r="F684" s="72">
        <v>12.2</v>
      </c>
      <c r="G684" s="31">
        <v>14.29</v>
      </c>
      <c r="H684" s="117">
        <v>40.012</v>
      </c>
      <c r="I684" s="117">
        <v>7.91</v>
      </c>
      <c r="J684" s="117">
        <v>12.096</v>
      </c>
      <c r="K684" s="114"/>
      <c r="L684" s="117">
        <f>H684-(I684+J684+K684)</f>
        <v>20.006</v>
      </c>
      <c r="M684" s="72">
        <f t="shared" si="17"/>
        <v>0</v>
      </c>
      <c r="O684" s="72"/>
    </row>
    <row r="685" spans="1:15">
      <c r="A685" s="28" t="s">
        <v>276</v>
      </c>
      <c r="C685" s="28" t="s">
        <v>277</v>
      </c>
      <c r="D685" s="31">
        <f>7.5</f>
        <v>7.5</v>
      </c>
      <c r="E685" s="73">
        <f>4.5</f>
        <v>4.5</v>
      </c>
      <c r="F685" s="72">
        <v>26.6</v>
      </c>
      <c r="G685" s="31">
        <v>24</v>
      </c>
      <c r="H685" s="31">
        <v>67.2</v>
      </c>
      <c r="I685" s="31">
        <v>23.1</v>
      </c>
      <c r="J685" s="31">
        <v>44.1</v>
      </c>
      <c r="K685" s="114">
        <f>H685-(I685+J685)</f>
        <v>0</v>
      </c>
      <c r="L685" s="115"/>
      <c r="M685" s="72">
        <f t="shared" si="17"/>
        <v>0</v>
      </c>
      <c r="O685" s="72"/>
    </row>
    <row r="686" spans="1:15">
      <c r="A686" s="28" t="s">
        <v>278</v>
      </c>
      <c r="C686" s="116" t="s">
        <v>163</v>
      </c>
      <c r="D686" s="117">
        <f>2.85</f>
        <v>2.85</v>
      </c>
      <c r="E686" s="118">
        <f>2.2</f>
        <v>2.2000000000000002</v>
      </c>
      <c r="F686" s="72">
        <v>6.25</v>
      </c>
      <c r="G686" s="31">
        <v>10.1</v>
      </c>
      <c r="H686" s="117">
        <v>28.28</v>
      </c>
      <c r="I686" s="29"/>
      <c r="J686" s="117">
        <v>14.14</v>
      </c>
      <c r="L686" s="117">
        <f>H686-(I686+J686+K686)</f>
        <v>14.14</v>
      </c>
      <c r="M686" s="72">
        <f t="shared" si="17"/>
        <v>0</v>
      </c>
      <c r="O686" s="117"/>
    </row>
    <row r="687" spans="1:15">
      <c r="A687" s="28" t="s">
        <v>279</v>
      </c>
      <c r="C687" s="28" t="s">
        <v>277</v>
      </c>
      <c r="D687" s="31">
        <f>7.5</f>
        <v>7.5</v>
      </c>
      <c r="E687" s="73">
        <f>4.5</f>
        <v>4.5</v>
      </c>
      <c r="F687" s="72">
        <v>29.45</v>
      </c>
      <c r="G687" s="31">
        <v>24</v>
      </c>
      <c r="H687" s="31">
        <v>67.2</v>
      </c>
      <c r="I687" s="31">
        <v>12.6</v>
      </c>
      <c r="J687" s="31">
        <v>42</v>
      </c>
      <c r="K687" s="114">
        <f>H687-(I687+J687)</f>
        <v>12.600000000000001</v>
      </c>
      <c r="L687" s="115"/>
      <c r="M687" s="72">
        <f t="shared" si="17"/>
        <v>0</v>
      </c>
      <c r="O687" s="72"/>
    </row>
    <row r="688" spans="1:15">
      <c r="A688" s="28" t="s">
        <v>280</v>
      </c>
      <c r="C688" s="116" t="s">
        <v>163</v>
      </c>
      <c r="D688" s="134">
        <f>2.225</f>
        <v>2.2250000000000001</v>
      </c>
      <c r="E688" s="118">
        <f>1.8</f>
        <v>1.8</v>
      </c>
      <c r="F688" s="72">
        <v>4</v>
      </c>
      <c r="G688" s="31">
        <v>8.0500000000000007</v>
      </c>
      <c r="H688" s="117">
        <v>22.54</v>
      </c>
      <c r="I688" s="29"/>
      <c r="J688" s="117">
        <v>11.27</v>
      </c>
      <c r="L688" s="117">
        <f>H688-(I688+J688+K688)</f>
        <v>11.27</v>
      </c>
      <c r="M688" s="72">
        <f t="shared" si="17"/>
        <v>0</v>
      </c>
      <c r="O688" s="117"/>
    </row>
    <row r="689" spans="1:15">
      <c r="A689" s="28" t="s">
        <v>281</v>
      </c>
      <c r="C689" s="28" t="s">
        <v>282</v>
      </c>
      <c r="D689" s="31">
        <f>6.35</f>
        <v>6.35</v>
      </c>
      <c r="E689" s="73">
        <f>4.55</f>
        <v>4.55</v>
      </c>
      <c r="F689" s="72">
        <v>24</v>
      </c>
      <c r="G689" s="31">
        <v>21.8</v>
      </c>
      <c r="H689" s="31">
        <v>61.04</v>
      </c>
      <c r="I689" s="31">
        <v>12.74</v>
      </c>
      <c r="J689" s="31">
        <v>35.56</v>
      </c>
      <c r="K689" s="114">
        <f>H689-(I689+J689)</f>
        <v>12.739999999999995</v>
      </c>
      <c r="L689" s="115"/>
      <c r="M689" s="72">
        <f t="shared" si="17"/>
        <v>0</v>
      </c>
      <c r="O689" s="72"/>
    </row>
    <row r="690" spans="1:15">
      <c r="A690" s="28" t="s">
        <v>283</v>
      </c>
      <c r="C690" s="116" t="s">
        <v>163</v>
      </c>
      <c r="D690" s="134">
        <f>2.225</f>
        <v>2.2250000000000001</v>
      </c>
      <c r="E690" s="118">
        <f>1.8</f>
        <v>1.8</v>
      </c>
      <c r="F690" s="72">
        <v>4</v>
      </c>
      <c r="G690" s="31">
        <v>8.0500000000000007</v>
      </c>
      <c r="H690" s="117">
        <v>22.54</v>
      </c>
      <c r="I690" s="29"/>
      <c r="J690" s="117">
        <v>11.27</v>
      </c>
      <c r="L690" s="117">
        <f>H690-(I690+J690+K690)</f>
        <v>11.27</v>
      </c>
      <c r="M690" s="72">
        <f t="shared" si="17"/>
        <v>0</v>
      </c>
      <c r="O690" s="117"/>
    </row>
    <row r="691" spans="1:15">
      <c r="A691" s="28" t="s">
        <v>284</v>
      </c>
      <c r="C691" s="28" t="s">
        <v>282</v>
      </c>
      <c r="D691" s="31">
        <f>6.35</f>
        <v>6.35</v>
      </c>
      <c r="E691" s="73">
        <f>4.5</f>
        <v>4.5</v>
      </c>
      <c r="F691" s="72">
        <v>24</v>
      </c>
      <c r="G691" s="31">
        <v>21.7</v>
      </c>
      <c r="H691" s="31">
        <v>60.76</v>
      </c>
      <c r="I691" s="31">
        <v>12.6</v>
      </c>
      <c r="J691" s="31">
        <v>35.56</v>
      </c>
      <c r="K691" s="114">
        <f>H691-(I691+J691)</f>
        <v>12.599999999999994</v>
      </c>
      <c r="L691" s="115"/>
      <c r="M691" s="72">
        <f t="shared" si="17"/>
        <v>0</v>
      </c>
      <c r="O691" s="72"/>
    </row>
    <row r="692" spans="1:15">
      <c r="A692" s="28" t="s">
        <v>285</v>
      </c>
      <c r="C692" s="116" t="s">
        <v>163</v>
      </c>
      <c r="D692" s="134">
        <f>2.225</f>
        <v>2.2250000000000001</v>
      </c>
      <c r="E692" s="118">
        <f>1.8</f>
        <v>1.8</v>
      </c>
      <c r="F692" s="72">
        <v>4</v>
      </c>
      <c r="G692" s="31">
        <v>8.0500000000000007</v>
      </c>
      <c r="H692" s="117">
        <v>22.54</v>
      </c>
      <c r="I692" s="29"/>
      <c r="J692" s="117">
        <v>11.27</v>
      </c>
      <c r="L692" s="117">
        <f>H692-(I692+J692+K692)</f>
        <v>11.27</v>
      </c>
      <c r="M692" s="72">
        <f t="shared" si="17"/>
        <v>0</v>
      </c>
      <c r="O692" s="117"/>
    </row>
    <row r="693" spans="1:15">
      <c r="A693" s="28" t="s">
        <v>286</v>
      </c>
      <c r="C693" s="28" t="s">
        <v>282</v>
      </c>
      <c r="D693" s="31">
        <f>6.35</f>
        <v>6.35</v>
      </c>
      <c r="E693" s="73">
        <f>4.5</f>
        <v>4.5</v>
      </c>
      <c r="F693" s="72">
        <v>24</v>
      </c>
      <c r="G693" s="31">
        <v>21.7</v>
      </c>
      <c r="H693" s="31">
        <v>60.76</v>
      </c>
      <c r="I693" s="31">
        <v>12.6</v>
      </c>
      <c r="J693" s="31">
        <v>35.56</v>
      </c>
      <c r="K693" s="114">
        <f>H693-(I693+J693)</f>
        <v>12.599999999999994</v>
      </c>
      <c r="L693" s="115"/>
      <c r="M693" s="72">
        <f t="shared" si="17"/>
        <v>0</v>
      </c>
      <c r="O693" s="72"/>
    </row>
    <row r="694" spans="1:15">
      <c r="A694" s="28" t="s">
        <v>287</v>
      </c>
      <c r="C694" s="116" t="s">
        <v>163</v>
      </c>
      <c r="D694" s="134">
        <f>2.225</f>
        <v>2.2250000000000001</v>
      </c>
      <c r="E694" s="118">
        <f>1.8</f>
        <v>1.8</v>
      </c>
      <c r="F694" s="72">
        <v>4</v>
      </c>
      <c r="G694" s="31">
        <v>8.0500000000000007</v>
      </c>
      <c r="H694" s="117">
        <v>22.54</v>
      </c>
      <c r="I694" s="29"/>
      <c r="J694" s="117">
        <v>11.27</v>
      </c>
      <c r="L694" s="117">
        <f>H694-(I694+J694+K694)</f>
        <v>11.27</v>
      </c>
      <c r="M694" s="72">
        <f t="shared" si="17"/>
        <v>0</v>
      </c>
      <c r="O694" s="117"/>
    </row>
    <row r="695" spans="1:15">
      <c r="A695" s="28" t="s">
        <v>288</v>
      </c>
      <c r="C695" s="28" t="s">
        <v>282</v>
      </c>
      <c r="D695" s="31">
        <f>6.35</f>
        <v>6.35</v>
      </c>
      <c r="E695" s="73">
        <f>4.5</f>
        <v>4.5</v>
      </c>
      <c r="F695" s="72">
        <v>24</v>
      </c>
      <c r="G695" s="31">
        <v>21.7</v>
      </c>
      <c r="H695" s="31">
        <v>60.76</v>
      </c>
      <c r="I695" s="31">
        <v>12.6</v>
      </c>
      <c r="J695" s="31">
        <v>35.56</v>
      </c>
      <c r="K695" s="114">
        <f>H695-(I695+J695)</f>
        <v>12.599999999999994</v>
      </c>
      <c r="L695" s="115"/>
      <c r="M695" s="72">
        <f t="shared" si="17"/>
        <v>0</v>
      </c>
      <c r="O695" s="72"/>
    </row>
    <row r="696" spans="1:15">
      <c r="A696" s="28" t="s">
        <v>289</v>
      </c>
      <c r="C696" s="116" t="s">
        <v>163</v>
      </c>
      <c r="D696" s="134">
        <f>2.225</f>
        <v>2.2250000000000001</v>
      </c>
      <c r="E696" s="118">
        <f>1.8</f>
        <v>1.8</v>
      </c>
      <c r="F696" s="72">
        <v>4</v>
      </c>
      <c r="G696" s="31">
        <v>8.0500000000000007</v>
      </c>
      <c r="H696" s="117">
        <v>22.54</v>
      </c>
      <c r="I696" s="29"/>
      <c r="J696" s="117">
        <v>11.27</v>
      </c>
      <c r="L696" s="117">
        <f>H696-(I696+J696+K696)</f>
        <v>11.27</v>
      </c>
      <c r="M696" s="72">
        <f t="shared" si="17"/>
        <v>0</v>
      </c>
      <c r="O696" s="117"/>
    </row>
    <row r="697" spans="1:15">
      <c r="A697" s="28" t="s">
        <v>290</v>
      </c>
      <c r="C697" s="28" t="s">
        <v>291</v>
      </c>
      <c r="D697" s="31">
        <f>6.35</f>
        <v>6.35</v>
      </c>
      <c r="E697" s="124">
        <f>2.925</f>
        <v>2.9249999999999998</v>
      </c>
      <c r="F697" s="72">
        <v>14.75</v>
      </c>
      <c r="G697" s="31">
        <v>18.55</v>
      </c>
      <c r="H697" s="31">
        <v>51.94</v>
      </c>
      <c r="I697" s="31">
        <v>25.97</v>
      </c>
      <c r="J697" s="31">
        <v>25.97</v>
      </c>
      <c r="K697" s="114">
        <f>H697-(I697+J697)</f>
        <v>0</v>
      </c>
      <c r="L697" s="115"/>
      <c r="M697" s="72">
        <f t="shared" si="17"/>
        <v>0</v>
      </c>
      <c r="O697" s="72"/>
    </row>
    <row r="698" spans="1:15">
      <c r="A698" s="28" t="s">
        <v>292</v>
      </c>
      <c r="C698" s="116" t="s">
        <v>163</v>
      </c>
      <c r="D698" s="134">
        <f>2.225</f>
        <v>2.2250000000000001</v>
      </c>
      <c r="E698" s="118">
        <f>1.4</f>
        <v>1.4</v>
      </c>
      <c r="F698" s="72">
        <v>3.1</v>
      </c>
      <c r="G698" s="31">
        <v>7.25</v>
      </c>
      <c r="H698" s="117">
        <v>20.3</v>
      </c>
      <c r="I698" s="29"/>
      <c r="J698" s="117">
        <v>10.15</v>
      </c>
      <c r="L698" s="117">
        <f>H698-(I698+J698+K698)</f>
        <v>10.15</v>
      </c>
      <c r="M698" s="72">
        <f t="shared" si="17"/>
        <v>0</v>
      </c>
      <c r="O698" s="117"/>
    </row>
    <row r="699" spans="1:15">
      <c r="A699" s="28" t="s">
        <v>293</v>
      </c>
      <c r="C699" s="28" t="s">
        <v>294</v>
      </c>
      <c r="D699" s="31">
        <f>6.35</f>
        <v>6.35</v>
      </c>
      <c r="E699" s="124">
        <f>2.925</f>
        <v>2.9249999999999998</v>
      </c>
      <c r="F699" s="72">
        <v>14.75</v>
      </c>
      <c r="G699" s="31">
        <v>18.55</v>
      </c>
      <c r="H699" s="31">
        <v>51.94</v>
      </c>
      <c r="I699" s="31">
        <v>8.19</v>
      </c>
      <c r="J699" s="31">
        <v>35.56</v>
      </c>
      <c r="K699" s="114">
        <f>H699-(I699+J699)</f>
        <v>8.1899999999999977</v>
      </c>
      <c r="L699" s="115"/>
      <c r="M699" s="72">
        <f t="shared" si="17"/>
        <v>0</v>
      </c>
      <c r="O699" s="72"/>
    </row>
    <row r="700" spans="1:15">
      <c r="A700" s="28" t="s">
        <v>295</v>
      </c>
      <c r="C700" s="116" t="s">
        <v>163</v>
      </c>
      <c r="D700" s="134">
        <f>2.225</f>
        <v>2.2250000000000001</v>
      </c>
      <c r="E700" s="118">
        <f>1.4</f>
        <v>1.4</v>
      </c>
      <c r="F700" s="72">
        <v>3.1</v>
      </c>
      <c r="G700" s="31">
        <v>7.25</v>
      </c>
      <c r="H700" s="117">
        <v>20.3</v>
      </c>
      <c r="I700" s="29"/>
      <c r="J700" s="117">
        <v>10.15</v>
      </c>
      <c r="L700" s="117">
        <f>H700-(I700+J700+K700)</f>
        <v>10.15</v>
      </c>
      <c r="M700" s="72">
        <f t="shared" ref="M700:M731" si="19">H700-(I700+J700+K700+L700)</f>
        <v>0</v>
      </c>
      <c r="O700" s="117"/>
    </row>
    <row r="701" spans="1:15">
      <c r="A701" s="28" t="s">
        <v>296</v>
      </c>
      <c r="C701" s="28" t="s">
        <v>291</v>
      </c>
      <c r="D701" s="31">
        <f>6.35</f>
        <v>6.35</v>
      </c>
      <c r="E701" s="124">
        <f>2.925</f>
        <v>2.9249999999999998</v>
      </c>
      <c r="F701" s="72">
        <v>14.75</v>
      </c>
      <c r="G701" s="31">
        <v>18.55</v>
      </c>
      <c r="H701" s="31">
        <v>51.94</v>
      </c>
      <c r="I701" s="31">
        <v>8.19</v>
      </c>
      <c r="J701" s="31">
        <v>35.56</v>
      </c>
      <c r="K701" s="114">
        <f>H701-(I701+J701)</f>
        <v>8.1899999999999977</v>
      </c>
      <c r="L701" s="115"/>
      <c r="M701" s="72">
        <f t="shared" si="19"/>
        <v>0</v>
      </c>
      <c r="O701" s="72"/>
    </row>
    <row r="702" spans="1:15">
      <c r="A702" s="28" t="s">
        <v>297</v>
      </c>
      <c r="C702" s="116" t="s">
        <v>163</v>
      </c>
      <c r="D702" s="134">
        <f>2.225</f>
        <v>2.2250000000000001</v>
      </c>
      <c r="E702" s="118">
        <f>1.4</f>
        <v>1.4</v>
      </c>
      <c r="F702" s="72">
        <v>3.1</v>
      </c>
      <c r="G702" s="31">
        <v>7.25</v>
      </c>
      <c r="H702" s="117">
        <v>20.3</v>
      </c>
      <c r="I702" s="29"/>
      <c r="J702" s="117">
        <v>10.15</v>
      </c>
      <c r="L702" s="117">
        <f>H702-(I702+J702+K702)</f>
        <v>10.15</v>
      </c>
      <c r="M702" s="72">
        <f t="shared" si="19"/>
        <v>0</v>
      </c>
      <c r="O702" s="117"/>
    </row>
    <row r="703" spans="1:15">
      <c r="A703" s="28" t="s">
        <v>298</v>
      </c>
      <c r="C703" s="28" t="s">
        <v>294</v>
      </c>
      <c r="D703" s="31">
        <f>6.35</f>
        <v>6.35</v>
      </c>
      <c r="E703" s="124">
        <f>2.925</f>
        <v>2.9249999999999998</v>
      </c>
      <c r="F703" s="72">
        <v>14.75</v>
      </c>
      <c r="G703" s="31">
        <v>18.55</v>
      </c>
      <c r="H703" s="31">
        <v>51.94</v>
      </c>
      <c r="I703" s="31">
        <v>8.19</v>
      </c>
      <c r="J703" s="31">
        <v>35.56</v>
      </c>
      <c r="K703" s="114">
        <f>H703-(I703+J703)</f>
        <v>8.1899999999999977</v>
      </c>
      <c r="L703" s="115"/>
      <c r="M703" s="72">
        <f t="shared" si="19"/>
        <v>0</v>
      </c>
      <c r="O703" s="72"/>
    </row>
    <row r="704" spans="1:15">
      <c r="A704" s="28" t="s">
        <v>299</v>
      </c>
      <c r="C704" s="116" t="s">
        <v>163</v>
      </c>
      <c r="D704" s="134">
        <f>2.225</f>
        <v>2.2250000000000001</v>
      </c>
      <c r="E704" s="118">
        <f>1.4</f>
        <v>1.4</v>
      </c>
      <c r="F704" s="72">
        <v>3.1</v>
      </c>
      <c r="G704" s="31">
        <v>7.25</v>
      </c>
      <c r="H704" s="117">
        <v>20.3</v>
      </c>
      <c r="I704" s="29"/>
      <c r="J704" s="117">
        <v>10.15</v>
      </c>
      <c r="L704" s="117">
        <f>H704-(I704+J704+K704)</f>
        <v>10.15</v>
      </c>
      <c r="M704" s="72">
        <f t="shared" si="19"/>
        <v>0</v>
      </c>
      <c r="O704" s="117"/>
    </row>
    <row r="705" spans="1:15">
      <c r="A705" s="28" t="s">
        <v>300</v>
      </c>
      <c r="B705" s="175"/>
      <c r="C705" s="28" t="s">
        <v>294</v>
      </c>
      <c r="D705" s="31">
        <f>6.35</f>
        <v>6.35</v>
      </c>
      <c r="E705" s="124">
        <f>2.925</f>
        <v>2.9249999999999998</v>
      </c>
      <c r="F705" s="72">
        <v>13.6</v>
      </c>
      <c r="G705" s="31">
        <v>18.55</v>
      </c>
      <c r="H705" s="31">
        <v>51.94</v>
      </c>
      <c r="I705" s="31">
        <v>8.19</v>
      </c>
      <c r="J705" s="31">
        <v>35.56</v>
      </c>
      <c r="K705" s="114">
        <f>H705-(I705+J705)</f>
        <v>8.1899999999999977</v>
      </c>
      <c r="L705" s="115"/>
      <c r="M705" s="72">
        <f t="shared" si="19"/>
        <v>0</v>
      </c>
      <c r="O705" s="72"/>
    </row>
    <row r="706" spans="1:15">
      <c r="A706" s="28" t="s">
        <v>301</v>
      </c>
      <c r="B706" s="175"/>
      <c r="C706" s="116" t="s">
        <v>163</v>
      </c>
      <c r="D706" s="134">
        <f>2.225</f>
        <v>2.2250000000000001</v>
      </c>
      <c r="E706" s="118">
        <f>1.4</f>
        <v>1.4</v>
      </c>
      <c r="F706" s="72">
        <v>3.1</v>
      </c>
      <c r="G706" s="31">
        <v>7.25</v>
      </c>
      <c r="H706" s="117">
        <v>20.3</v>
      </c>
      <c r="I706" s="29"/>
      <c r="J706" s="117">
        <v>10.15</v>
      </c>
      <c r="L706" s="117">
        <f>H706-(I706+J706+K706)</f>
        <v>10.15</v>
      </c>
      <c r="M706" s="72">
        <f t="shared" si="19"/>
        <v>0</v>
      </c>
      <c r="O706" s="117"/>
    </row>
    <row r="707" spans="1:15">
      <c r="A707" s="28" t="s">
        <v>302</v>
      </c>
      <c r="B707" s="175"/>
      <c r="C707" s="28" t="s">
        <v>294</v>
      </c>
      <c r="D707" s="31">
        <f>6.35</f>
        <v>6.35</v>
      </c>
      <c r="E707" s="124">
        <f>2.925</f>
        <v>2.9249999999999998</v>
      </c>
      <c r="F707" s="72">
        <v>13.6</v>
      </c>
      <c r="G707" s="31">
        <v>18.55</v>
      </c>
      <c r="H707" s="31">
        <v>51.94</v>
      </c>
      <c r="I707" s="31">
        <v>8.19</v>
      </c>
      <c r="J707" s="31">
        <v>35.56</v>
      </c>
      <c r="K707" s="114">
        <f>H707-(I707+J707)</f>
        <v>8.1899999999999977</v>
      </c>
      <c r="L707" s="115"/>
      <c r="M707" s="72">
        <f t="shared" si="19"/>
        <v>0</v>
      </c>
      <c r="O707" s="72"/>
    </row>
    <row r="708" spans="1:15">
      <c r="A708" s="28" t="s">
        <v>303</v>
      </c>
      <c r="B708" s="175"/>
      <c r="C708" s="116" t="s">
        <v>163</v>
      </c>
      <c r="D708" s="134">
        <f>2.225</f>
        <v>2.2250000000000001</v>
      </c>
      <c r="E708" s="118">
        <f>1.4</f>
        <v>1.4</v>
      </c>
      <c r="F708" s="72">
        <v>3.1</v>
      </c>
      <c r="G708" s="31">
        <v>7.25</v>
      </c>
      <c r="H708" s="117">
        <v>20.3</v>
      </c>
      <c r="I708" s="29"/>
      <c r="J708" s="117">
        <v>10.15</v>
      </c>
      <c r="L708" s="117">
        <f>H708-(I708+J708+K708)</f>
        <v>10.15</v>
      </c>
      <c r="M708" s="72">
        <f t="shared" si="19"/>
        <v>0</v>
      </c>
      <c r="O708" s="117"/>
    </row>
    <row r="709" spans="1:15">
      <c r="A709" s="28" t="s">
        <v>304</v>
      </c>
      <c r="C709" s="28" t="s">
        <v>291</v>
      </c>
      <c r="D709" s="31">
        <f>6.35</f>
        <v>6.35</v>
      </c>
      <c r="E709" s="124">
        <f>2.925</f>
        <v>2.9249999999999998</v>
      </c>
      <c r="F709" s="72">
        <v>14.75</v>
      </c>
      <c r="G709" s="31">
        <v>18.55</v>
      </c>
      <c r="H709" s="31">
        <v>51.94</v>
      </c>
      <c r="I709" s="31">
        <v>8.19</v>
      </c>
      <c r="J709" s="31">
        <v>35.56</v>
      </c>
      <c r="K709" s="114">
        <f>H709-(I709+J709)</f>
        <v>8.1899999999999977</v>
      </c>
      <c r="L709" s="115"/>
      <c r="M709" s="72">
        <f t="shared" si="19"/>
        <v>0</v>
      </c>
      <c r="O709" s="72"/>
    </row>
    <row r="710" spans="1:15">
      <c r="A710" s="28" t="s">
        <v>305</v>
      </c>
      <c r="C710" s="116" t="s">
        <v>163</v>
      </c>
      <c r="D710" s="134">
        <f>2.225</f>
        <v>2.2250000000000001</v>
      </c>
      <c r="E710" s="118">
        <f>1.4</f>
        <v>1.4</v>
      </c>
      <c r="F710" s="72">
        <v>3.1</v>
      </c>
      <c r="G710" s="31">
        <v>7.25</v>
      </c>
      <c r="H710" s="117">
        <v>20.3</v>
      </c>
      <c r="I710" s="29"/>
      <c r="J710" s="117">
        <v>10.15</v>
      </c>
      <c r="L710" s="117">
        <f>H710-(I710+J710+K710)</f>
        <v>10.15</v>
      </c>
      <c r="M710" s="72">
        <f t="shared" si="19"/>
        <v>0</v>
      </c>
      <c r="O710" s="117"/>
    </row>
    <row r="711" spans="1:15">
      <c r="A711" s="28" t="s">
        <v>306</v>
      </c>
      <c r="B711" s="175"/>
      <c r="C711" s="28" t="s">
        <v>291</v>
      </c>
      <c r="D711" s="31">
        <f>6.35</f>
        <v>6.35</v>
      </c>
      <c r="E711" s="124">
        <f>2.925</f>
        <v>2.9249999999999998</v>
      </c>
      <c r="F711" s="72">
        <v>14.75</v>
      </c>
      <c r="G711" s="31">
        <v>18.55</v>
      </c>
      <c r="H711" s="31">
        <v>51.94</v>
      </c>
      <c r="I711" s="31">
        <v>8.19</v>
      </c>
      <c r="J711" s="31">
        <v>35.56</v>
      </c>
      <c r="K711" s="114">
        <f>H711-(I711+J711)</f>
        <v>8.1899999999999977</v>
      </c>
      <c r="L711" s="115"/>
      <c r="M711" s="72">
        <f t="shared" si="19"/>
        <v>0</v>
      </c>
      <c r="O711" s="72"/>
    </row>
    <row r="712" spans="1:15">
      <c r="A712" s="28" t="s">
        <v>307</v>
      </c>
      <c r="B712" s="175"/>
      <c r="C712" s="116" t="s">
        <v>163</v>
      </c>
      <c r="D712" s="134">
        <f>2.225</f>
        <v>2.2250000000000001</v>
      </c>
      <c r="E712" s="118">
        <f>1.4</f>
        <v>1.4</v>
      </c>
      <c r="F712" s="72">
        <v>3.1</v>
      </c>
      <c r="G712" s="31">
        <v>7.25</v>
      </c>
      <c r="H712" s="117">
        <v>20.3</v>
      </c>
      <c r="I712" s="29"/>
      <c r="J712" s="117">
        <v>10.15</v>
      </c>
      <c r="L712" s="117">
        <f>H712-(I712+J712+K712)</f>
        <v>10.15</v>
      </c>
      <c r="M712" s="72">
        <f t="shared" si="19"/>
        <v>0</v>
      </c>
      <c r="O712" s="117"/>
    </row>
    <row r="713" spans="1:15">
      <c r="A713" s="28" t="s">
        <v>308</v>
      </c>
      <c r="B713" s="175"/>
      <c r="C713" s="28" t="s">
        <v>291</v>
      </c>
      <c r="D713" s="31">
        <f>6.35</f>
        <v>6.35</v>
      </c>
      <c r="E713" s="124">
        <f>2.925</f>
        <v>2.9249999999999998</v>
      </c>
      <c r="F713" s="72">
        <v>14.75</v>
      </c>
      <c r="G713" s="31">
        <v>18.55</v>
      </c>
      <c r="H713" s="31">
        <v>51.94</v>
      </c>
      <c r="I713" s="31">
        <v>8.19</v>
      </c>
      <c r="J713" s="31">
        <v>35.56</v>
      </c>
      <c r="K713" s="114">
        <f>H713-(I713+J713)</f>
        <v>8.1899999999999977</v>
      </c>
      <c r="L713" s="115"/>
      <c r="M713" s="72">
        <f t="shared" si="19"/>
        <v>0</v>
      </c>
      <c r="O713" s="72"/>
    </row>
    <row r="714" spans="1:15">
      <c r="A714" s="28" t="s">
        <v>309</v>
      </c>
      <c r="B714" s="175"/>
      <c r="C714" s="116" t="s">
        <v>163</v>
      </c>
      <c r="D714" s="134">
        <f>2.225</f>
        <v>2.2250000000000001</v>
      </c>
      <c r="E714" s="118">
        <f>1.4</f>
        <v>1.4</v>
      </c>
      <c r="F714" s="72">
        <v>3.1</v>
      </c>
      <c r="G714" s="31">
        <v>7.25</v>
      </c>
      <c r="H714" s="117">
        <v>20.3</v>
      </c>
      <c r="I714" s="29"/>
      <c r="J714" s="117">
        <v>10.15</v>
      </c>
      <c r="L714" s="117">
        <f>H714-(I714+J714+K714)</f>
        <v>10.15</v>
      </c>
      <c r="M714" s="72">
        <f t="shared" si="19"/>
        <v>0</v>
      </c>
      <c r="O714" s="117"/>
    </row>
    <row r="715" spans="1:15">
      <c r="A715" s="28" t="s">
        <v>310</v>
      </c>
      <c r="B715" s="175"/>
      <c r="C715" s="28" t="s">
        <v>291</v>
      </c>
      <c r="D715" s="31">
        <f>6.35</f>
        <v>6.35</v>
      </c>
      <c r="E715" s="124">
        <f>2.925</f>
        <v>2.9249999999999998</v>
      </c>
      <c r="F715" s="72">
        <v>14.75</v>
      </c>
      <c r="G715" s="31">
        <v>18.55</v>
      </c>
      <c r="H715" s="31">
        <v>51.94</v>
      </c>
      <c r="I715" s="31">
        <v>8.19</v>
      </c>
      <c r="J715" s="31">
        <v>35.56</v>
      </c>
      <c r="K715" s="114">
        <f>H715-(I715+J715)</f>
        <v>8.1899999999999977</v>
      </c>
      <c r="L715" s="115"/>
      <c r="M715" s="72">
        <f t="shared" si="19"/>
        <v>0</v>
      </c>
      <c r="O715" s="72"/>
    </row>
    <row r="716" spans="1:15">
      <c r="A716" s="28" t="s">
        <v>311</v>
      </c>
      <c r="B716" s="175"/>
      <c r="C716" s="116" t="s">
        <v>163</v>
      </c>
      <c r="D716" s="134">
        <f>2.225</f>
        <v>2.2250000000000001</v>
      </c>
      <c r="E716" s="118">
        <f>1.4</f>
        <v>1.4</v>
      </c>
      <c r="F716" s="72">
        <v>3.1</v>
      </c>
      <c r="G716" s="31">
        <v>7.25</v>
      </c>
      <c r="H716" s="117">
        <v>20.3</v>
      </c>
      <c r="I716" s="29"/>
      <c r="J716" s="117">
        <v>10.15</v>
      </c>
      <c r="L716" s="117">
        <f>H716-(I716+J716+K716)</f>
        <v>10.15</v>
      </c>
      <c r="M716" s="72">
        <f t="shared" si="19"/>
        <v>0</v>
      </c>
      <c r="O716" s="117"/>
    </row>
    <row r="717" spans="1:15">
      <c r="A717" s="28" t="s">
        <v>312</v>
      </c>
      <c r="B717" s="167"/>
      <c r="C717" s="28" t="s">
        <v>313</v>
      </c>
      <c r="D717" s="31">
        <f>3.2</f>
        <v>3.2</v>
      </c>
      <c r="E717" s="73">
        <f>0.6</f>
        <v>0.6</v>
      </c>
      <c r="F717" s="72">
        <v>1.9</v>
      </c>
      <c r="G717" s="31">
        <v>7.6</v>
      </c>
      <c r="H717" s="31">
        <v>21.28</v>
      </c>
      <c r="I717" s="31">
        <v>1.68</v>
      </c>
      <c r="J717" s="31">
        <v>17.920000000000002</v>
      </c>
      <c r="K717" s="114">
        <f>H717-(I717+J717)</f>
        <v>1.6799999999999997</v>
      </c>
      <c r="L717" s="115"/>
      <c r="M717" s="72">
        <f t="shared" si="19"/>
        <v>0</v>
      </c>
      <c r="O717" s="72"/>
    </row>
    <row r="718" spans="1:15">
      <c r="A718" s="29"/>
      <c r="B718" s="167"/>
      <c r="C718" s="107" t="s">
        <v>314</v>
      </c>
      <c r="D718" s="29"/>
      <c r="E718" s="29"/>
      <c r="H718" s="29"/>
      <c r="I718" s="29"/>
      <c r="M718" s="72">
        <f t="shared" si="19"/>
        <v>0</v>
      </c>
    </row>
    <row r="719" spans="1:15">
      <c r="A719" s="28" t="s">
        <v>315</v>
      </c>
      <c r="B719" s="194"/>
      <c r="C719" s="116" t="s">
        <v>275</v>
      </c>
      <c r="D719" s="117">
        <f>4.32</f>
        <v>4.32</v>
      </c>
      <c r="E719" s="122">
        <f>2.825</f>
        <v>2.8250000000000002</v>
      </c>
      <c r="F719" s="31">
        <v>12.2</v>
      </c>
      <c r="G719" s="31">
        <v>14.29</v>
      </c>
      <c r="H719" s="117">
        <v>40.012</v>
      </c>
      <c r="I719" s="117" t="e">
        <f>NA()</f>
        <v>#N/A</v>
      </c>
      <c r="J719" s="117">
        <v>24.192</v>
      </c>
      <c r="K719" s="114"/>
      <c r="L719" s="117" t="e">
        <f>H719-(I719+J719+K719)</f>
        <v>#N/A</v>
      </c>
      <c r="M719" s="72" t="e">
        <f t="shared" si="19"/>
        <v>#N/A</v>
      </c>
      <c r="O719" s="72"/>
    </row>
    <row r="720" spans="1:15">
      <c r="A720" s="28" t="s">
        <v>316</v>
      </c>
      <c r="B720" s="175"/>
      <c r="C720" s="28" t="s">
        <v>282</v>
      </c>
      <c r="D720" s="73">
        <f>6.2</f>
        <v>6.2</v>
      </c>
      <c r="E720" s="73">
        <f>6</f>
        <v>6</v>
      </c>
      <c r="F720" s="72">
        <v>26</v>
      </c>
      <c r="G720" s="31">
        <v>24.4</v>
      </c>
      <c r="H720" s="31">
        <v>68.319999999999993</v>
      </c>
      <c r="I720" s="31">
        <v>16.8</v>
      </c>
      <c r="J720" s="31">
        <v>34.72</v>
      </c>
      <c r="K720" s="114">
        <f>H720-(I720+J720)</f>
        <v>16.799999999999997</v>
      </c>
      <c r="L720" s="115"/>
      <c r="M720" s="72">
        <f t="shared" si="19"/>
        <v>0</v>
      </c>
      <c r="O720" s="72"/>
    </row>
    <row r="721" spans="1:15">
      <c r="A721" s="28" t="s">
        <v>317</v>
      </c>
      <c r="B721" s="175"/>
      <c r="C721" s="116" t="s">
        <v>163</v>
      </c>
      <c r="D721" s="117">
        <f>2.85</f>
        <v>2.85</v>
      </c>
      <c r="E721" s="118">
        <f>2.2</f>
        <v>2.2000000000000002</v>
      </c>
      <c r="F721" s="72">
        <v>6.3</v>
      </c>
      <c r="G721" s="31">
        <v>10.1</v>
      </c>
      <c r="H721" s="117">
        <v>28.28</v>
      </c>
      <c r="I721" s="29"/>
      <c r="J721" s="117">
        <v>14.14</v>
      </c>
      <c r="L721" s="117">
        <f>H721-(I721+J721+K721)</f>
        <v>14.14</v>
      </c>
      <c r="M721" s="72">
        <f t="shared" si="19"/>
        <v>0</v>
      </c>
      <c r="O721" s="117"/>
    </row>
    <row r="722" spans="1:15">
      <c r="A722" s="28" t="s">
        <v>318</v>
      </c>
      <c r="B722" s="175"/>
      <c r="C722" s="28" t="s">
        <v>291</v>
      </c>
      <c r="D722" s="73">
        <f>6.2</f>
        <v>6.2</v>
      </c>
      <c r="E722" s="124">
        <f>2.925</f>
        <v>2.9249999999999998</v>
      </c>
      <c r="F722" s="72">
        <v>14.75</v>
      </c>
      <c r="G722" s="31">
        <v>18.25</v>
      </c>
      <c r="H722" s="31">
        <v>51.1</v>
      </c>
      <c r="I722" s="31">
        <v>8.19</v>
      </c>
      <c r="J722" s="31">
        <v>34.72</v>
      </c>
      <c r="K722" s="114">
        <f>H722-(I722+J722)</f>
        <v>8.1900000000000048</v>
      </c>
      <c r="L722" s="115"/>
      <c r="M722" s="72">
        <f t="shared" si="19"/>
        <v>0</v>
      </c>
      <c r="O722" s="72"/>
    </row>
    <row r="723" spans="1:15">
      <c r="A723" s="28" t="s">
        <v>319</v>
      </c>
      <c r="B723" s="175"/>
      <c r="C723" s="116" t="s">
        <v>163</v>
      </c>
      <c r="D723" s="134">
        <f>2.225</f>
        <v>2.2250000000000001</v>
      </c>
      <c r="E723" s="118">
        <f>1.4</f>
        <v>1.4</v>
      </c>
      <c r="F723" s="72">
        <v>3.1</v>
      </c>
      <c r="G723" s="31">
        <v>7.25</v>
      </c>
      <c r="H723" s="117">
        <v>20.3</v>
      </c>
      <c r="I723" s="29"/>
      <c r="J723" s="117">
        <v>10.15</v>
      </c>
      <c r="L723" s="117">
        <f>H723-(I723+J723+K723)</f>
        <v>10.15</v>
      </c>
      <c r="M723" s="72">
        <f t="shared" si="19"/>
        <v>0</v>
      </c>
      <c r="O723" s="117"/>
    </row>
    <row r="724" spans="1:15">
      <c r="A724" s="28" t="s">
        <v>320</v>
      </c>
      <c r="B724" s="175"/>
      <c r="C724" s="28" t="s">
        <v>294</v>
      </c>
      <c r="D724" s="73">
        <f>6.2</f>
        <v>6.2</v>
      </c>
      <c r="E724" s="124">
        <f>2.925</f>
        <v>2.9249999999999998</v>
      </c>
      <c r="F724" s="72">
        <v>14.75</v>
      </c>
      <c r="G724" s="31">
        <v>18.25</v>
      </c>
      <c r="H724" s="31">
        <v>51.1</v>
      </c>
      <c r="I724" s="31">
        <v>8.19</v>
      </c>
      <c r="J724" s="31">
        <v>34.72</v>
      </c>
      <c r="K724" s="114">
        <f>H724-(I724+J724)</f>
        <v>8.1900000000000048</v>
      </c>
      <c r="L724" s="115"/>
      <c r="M724" s="72">
        <f t="shared" si="19"/>
        <v>0</v>
      </c>
      <c r="O724" s="72"/>
    </row>
    <row r="725" spans="1:15">
      <c r="A725" s="28" t="s">
        <v>321</v>
      </c>
      <c r="B725" s="175"/>
      <c r="C725" s="116" t="s">
        <v>163</v>
      </c>
      <c r="D725" s="134">
        <f>2.225</f>
        <v>2.2250000000000001</v>
      </c>
      <c r="E725" s="118">
        <f>1.4</f>
        <v>1.4</v>
      </c>
      <c r="F725" s="72">
        <v>3.1</v>
      </c>
      <c r="G725" s="31">
        <v>7.25</v>
      </c>
      <c r="H725" s="117">
        <v>20.3</v>
      </c>
      <c r="I725" s="29"/>
      <c r="J725" s="117">
        <v>10.15</v>
      </c>
      <c r="L725" s="117">
        <f>H725-(I725+J725+K725)</f>
        <v>10.15</v>
      </c>
      <c r="M725" s="72">
        <f t="shared" si="19"/>
        <v>0</v>
      </c>
      <c r="O725" s="117"/>
    </row>
    <row r="726" spans="1:15">
      <c r="A726" s="28" t="s">
        <v>322</v>
      </c>
      <c r="B726" s="175"/>
      <c r="C726" s="28" t="s">
        <v>291</v>
      </c>
      <c r="D726" s="73">
        <f>6.2</f>
        <v>6.2</v>
      </c>
      <c r="E726" s="124">
        <f>2.925</f>
        <v>2.9249999999999998</v>
      </c>
      <c r="F726" s="72">
        <v>14.75</v>
      </c>
      <c r="G726" s="31">
        <v>18.25</v>
      </c>
      <c r="H726" s="31">
        <v>51.1</v>
      </c>
      <c r="I726" s="31">
        <v>8.19</v>
      </c>
      <c r="J726" s="31">
        <v>34.72</v>
      </c>
      <c r="K726" s="114">
        <f>H726-(I726+J726)</f>
        <v>8.1900000000000048</v>
      </c>
      <c r="L726" s="115"/>
      <c r="M726" s="72">
        <f t="shared" si="19"/>
        <v>0</v>
      </c>
      <c r="O726" s="72"/>
    </row>
    <row r="727" spans="1:15">
      <c r="A727" s="28" t="s">
        <v>323</v>
      </c>
      <c r="B727" s="175"/>
      <c r="C727" s="116" t="s">
        <v>163</v>
      </c>
      <c r="D727" s="134">
        <f>2.225</f>
        <v>2.2250000000000001</v>
      </c>
      <c r="E727" s="118">
        <f>1.4</f>
        <v>1.4</v>
      </c>
      <c r="F727" s="72">
        <v>3.1</v>
      </c>
      <c r="G727" s="31">
        <v>7.25</v>
      </c>
      <c r="H727" s="117">
        <v>20.3</v>
      </c>
      <c r="I727" s="29"/>
      <c r="J727" s="117">
        <v>10.15</v>
      </c>
      <c r="L727" s="117">
        <f>H727-(I727+J727+K727)</f>
        <v>10.15</v>
      </c>
      <c r="M727" s="72">
        <f t="shared" si="19"/>
        <v>0</v>
      </c>
      <c r="O727" s="117"/>
    </row>
    <row r="728" spans="1:15">
      <c r="A728" s="28" t="s">
        <v>324</v>
      </c>
      <c r="B728" s="175"/>
      <c r="C728" s="28" t="s">
        <v>294</v>
      </c>
      <c r="D728" s="73">
        <f>6.2</f>
        <v>6.2</v>
      </c>
      <c r="E728" s="124">
        <f>2.925</f>
        <v>2.9249999999999998</v>
      </c>
      <c r="F728" s="72">
        <v>14.75</v>
      </c>
      <c r="G728" s="31">
        <v>18.25</v>
      </c>
      <c r="H728" s="31">
        <v>51.1</v>
      </c>
      <c r="I728" s="31">
        <v>8.19</v>
      </c>
      <c r="J728" s="31">
        <v>34.72</v>
      </c>
      <c r="K728" s="114">
        <f>H728-(I728+J728)</f>
        <v>8.1900000000000048</v>
      </c>
      <c r="L728" s="115"/>
      <c r="M728" s="72">
        <f t="shared" si="19"/>
        <v>0</v>
      </c>
      <c r="O728" s="72"/>
    </row>
    <row r="729" spans="1:15">
      <c r="A729" s="28" t="s">
        <v>325</v>
      </c>
      <c r="B729" s="175"/>
      <c r="C729" s="116" t="s">
        <v>163</v>
      </c>
      <c r="D729" s="134">
        <f>2.225</f>
        <v>2.2250000000000001</v>
      </c>
      <c r="E729" s="118">
        <f>1.4</f>
        <v>1.4</v>
      </c>
      <c r="F729" s="72">
        <v>3.1</v>
      </c>
      <c r="G729" s="31">
        <v>7.25</v>
      </c>
      <c r="H729" s="117">
        <v>20.3</v>
      </c>
      <c r="I729" s="29"/>
      <c r="J729" s="117">
        <v>10.15</v>
      </c>
      <c r="L729" s="117">
        <f>H729-(I729+J729+K729)</f>
        <v>10.15</v>
      </c>
      <c r="M729" s="72">
        <f t="shared" si="19"/>
        <v>0</v>
      </c>
      <c r="O729" s="117"/>
    </row>
    <row r="730" spans="1:15">
      <c r="A730" s="28" t="s">
        <v>326</v>
      </c>
      <c r="B730" s="175"/>
      <c r="C730" s="28" t="s">
        <v>294</v>
      </c>
      <c r="D730" s="73">
        <f>6.2</f>
        <v>6.2</v>
      </c>
      <c r="E730" s="124">
        <f>2.925</f>
        <v>2.9249999999999998</v>
      </c>
      <c r="F730" s="72">
        <v>13.75</v>
      </c>
      <c r="G730" s="31">
        <v>18.25</v>
      </c>
      <c r="H730" s="31">
        <v>51.1</v>
      </c>
      <c r="I730" s="31">
        <v>8.19</v>
      </c>
      <c r="J730" s="31">
        <v>34.72</v>
      </c>
      <c r="K730" s="114">
        <f>H730-(I730+J730)</f>
        <v>8.1900000000000048</v>
      </c>
      <c r="L730" s="115"/>
      <c r="M730" s="72">
        <f t="shared" si="19"/>
        <v>0</v>
      </c>
      <c r="O730" s="72"/>
    </row>
    <row r="731" spans="1:15">
      <c r="A731" s="28" t="s">
        <v>327</v>
      </c>
      <c r="B731" s="175"/>
      <c r="C731" s="116" t="s">
        <v>163</v>
      </c>
      <c r="D731" s="134">
        <f>2.225</f>
        <v>2.2250000000000001</v>
      </c>
      <c r="E731" s="118">
        <f>1.4</f>
        <v>1.4</v>
      </c>
      <c r="F731" s="72">
        <v>3.1</v>
      </c>
      <c r="G731" s="31">
        <v>7.25</v>
      </c>
      <c r="H731" s="117">
        <v>20.3</v>
      </c>
      <c r="I731" s="29"/>
      <c r="J731" s="117">
        <v>10.15</v>
      </c>
      <c r="L731" s="117">
        <f>H731-(I731+J731+K731)</f>
        <v>10.15</v>
      </c>
      <c r="M731" s="72">
        <f t="shared" si="19"/>
        <v>0</v>
      </c>
      <c r="O731" s="117"/>
    </row>
    <row r="732" spans="1:15">
      <c r="A732" s="28" t="s">
        <v>328</v>
      </c>
      <c r="B732" s="175"/>
      <c r="C732" s="28" t="s">
        <v>294</v>
      </c>
      <c r="D732" s="73">
        <f>6.2</f>
        <v>6.2</v>
      </c>
      <c r="E732" s="124">
        <f>2.925</f>
        <v>2.9249999999999998</v>
      </c>
      <c r="F732" s="72">
        <v>13.75</v>
      </c>
      <c r="G732" s="31">
        <v>18.25</v>
      </c>
      <c r="H732" s="31">
        <v>51.1</v>
      </c>
      <c r="I732" s="31">
        <v>8.19</v>
      </c>
      <c r="J732" s="31">
        <v>34.72</v>
      </c>
      <c r="K732" s="114">
        <f>H732-(I732+J732)</f>
        <v>8.1900000000000048</v>
      </c>
      <c r="L732" s="115"/>
      <c r="M732" s="72">
        <f t="shared" ref="M732:M744" si="20">H732-(I732+J732+K732+L732)</f>
        <v>0</v>
      </c>
      <c r="O732" s="72"/>
    </row>
    <row r="733" spans="1:15">
      <c r="A733" s="28" t="s">
        <v>329</v>
      </c>
      <c r="B733" s="175"/>
      <c r="C733" s="116" t="s">
        <v>163</v>
      </c>
      <c r="D733" s="134">
        <f>2.225</f>
        <v>2.2250000000000001</v>
      </c>
      <c r="E733" s="118">
        <f>1.4</f>
        <v>1.4</v>
      </c>
      <c r="F733" s="72">
        <v>3.1</v>
      </c>
      <c r="G733" s="31">
        <v>7.25</v>
      </c>
      <c r="H733" s="117">
        <v>20.3</v>
      </c>
      <c r="I733" s="29"/>
      <c r="J733" s="117">
        <v>10.15</v>
      </c>
      <c r="L733" s="117">
        <f>H733-(I733+J733+K733)</f>
        <v>10.15</v>
      </c>
      <c r="M733" s="72">
        <f t="shared" si="20"/>
        <v>0</v>
      </c>
      <c r="O733" s="117"/>
    </row>
    <row r="734" spans="1:15">
      <c r="A734" s="28" t="s">
        <v>330</v>
      </c>
      <c r="B734" s="175"/>
      <c r="C734" s="28" t="s">
        <v>282</v>
      </c>
      <c r="D734" s="73">
        <f>6.2</f>
        <v>6.2</v>
      </c>
      <c r="E734" s="73">
        <f>4.5</f>
        <v>4.5</v>
      </c>
      <c r="F734" s="72">
        <v>23.9</v>
      </c>
      <c r="G734" s="31">
        <v>21.4</v>
      </c>
      <c r="H734" s="31">
        <v>59.92</v>
      </c>
      <c r="I734" s="31">
        <v>12.6</v>
      </c>
      <c r="J734" s="31">
        <v>34.72</v>
      </c>
      <c r="K734" s="114">
        <f>H734-(I734+J734)</f>
        <v>12.600000000000001</v>
      </c>
      <c r="L734" s="115"/>
      <c r="M734" s="72">
        <f t="shared" si="20"/>
        <v>0</v>
      </c>
      <c r="O734" s="72"/>
    </row>
    <row r="735" spans="1:15">
      <c r="A735" s="28" t="s">
        <v>331</v>
      </c>
      <c r="B735" s="175"/>
      <c r="C735" s="116" t="s">
        <v>163</v>
      </c>
      <c r="D735" s="134">
        <f>2.225</f>
        <v>2.2250000000000001</v>
      </c>
      <c r="E735" s="118">
        <f>1.8</f>
        <v>1.8</v>
      </c>
      <c r="F735" s="72">
        <v>4</v>
      </c>
      <c r="G735" s="31">
        <v>8.0500000000000007</v>
      </c>
      <c r="H735" s="117">
        <v>22.54</v>
      </c>
      <c r="I735" s="29"/>
      <c r="J735" s="117">
        <v>11.27</v>
      </c>
      <c r="L735" s="117">
        <f>H735-(I735+J735+K735)</f>
        <v>11.27</v>
      </c>
      <c r="M735" s="72">
        <f t="shared" si="20"/>
        <v>0</v>
      </c>
      <c r="O735" s="117"/>
    </row>
    <row r="736" spans="1:15">
      <c r="A736" s="28" t="s">
        <v>332</v>
      </c>
      <c r="B736" s="175"/>
      <c r="C736" s="28" t="s">
        <v>282</v>
      </c>
      <c r="D736" s="73">
        <f>6.2</f>
        <v>6.2</v>
      </c>
      <c r="E736" s="73">
        <f>4.5</f>
        <v>4.5</v>
      </c>
      <c r="F736" s="72">
        <v>24</v>
      </c>
      <c r="G736" s="31">
        <v>21.4</v>
      </c>
      <c r="H736" s="31">
        <v>59.92</v>
      </c>
      <c r="I736" s="31">
        <v>12.6</v>
      </c>
      <c r="J736" s="31">
        <v>34.72</v>
      </c>
      <c r="K736" s="114">
        <f>H736-(I736+J736)</f>
        <v>12.600000000000001</v>
      </c>
      <c r="L736" s="115"/>
      <c r="M736" s="72">
        <f t="shared" si="20"/>
        <v>0</v>
      </c>
      <c r="O736" s="72"/>
    </row>
    <row r="737" spans="1:16">
      <c r="A737" s="28" t="s">
        <v>333</v>
      </c>
      <c r="B737" s="175"/>
      <c r="C737" s="116" t="s">
        <v>163</v>
      </c>
      <c r="D737" s="134">
        <f>2.225</f>
        <v>2.2250000000000001</v>
      </c>
      <c r="E737" s="118">
        <f>1.8</f>
        <v>1.8</v>
      </c>
      <c r="F737" s="72">
        <v>4</v>
      </c>
      <c r="G737" s="31">
        <v>8.0500000000000007</v>
      </c>
      <c r="H737" s="117">
        <v>22.54</v>
      </c>
      <c r="I737" s="29"/>
      <c r="J737" s="117">
        <v>11.27</v>
      </c>
      <c r="L737" s="117">
        <f>H737-(I737+J737+K737)</f>
        <v>11.27</v>
      </c>
      <c r="M737" s="72">
        <f t="shared" si="20"/>
        <v>0</v>
      </c>
      <c r="O737" s="117"/>
    </row>
    <row r="738" spans="1:16">
      <c r="A738" s="28" t="s">
        <v>334</v>
      </c>
      <c r="B738" s="175"/>
      <c r="C738" s="28" t="s">
        <v>282</v>
      </c>
      <c r="D738" s="73">
        <f>6.2</f>
        <v>6.2</v>
      </c>
      <c r="E738" s="73">
        <f>4.5</f>
        <v>4.5</v>
      </c>
      <c r="F738" s="72">
        <v>24</v>
      </c>
      <c r="G738" s="31">
        <v>21.4</v>
      </c>
      <c r="H738" s="31">
        <v>59.92</v>
      </c>
      <c r="I738" s="31">
        <v>12.6</v>
      </c>
      <c r="J738" s="31">
        <v>34.72</v>
      </c>
      <c r="K738" s="114">
        <f>H738-(I738+J738)</f>
        <v>12.600000000000001</v>
      </c>
      <c r="L738" s="115"/>
      <c r="M738" s="72">
        <f t="shared" si="20"/>
        <v>0</v>
      </c>
      <c r="O738" s="72"/>
    </row>
    <row r="739" spans="1:16">
      <c r="A739" s="28" t="s">
        <v>335</v>
      </c>
      <c r="B739" s="175"/>
      <c r="C739" s="116" t="s">
        <v>163</v>
      </c>
      <c r="D739" s="134">
        <f>2.225</f>
        <v>2.2250000000000001</v>
      </c>
      <c r="E739" s="118">
        <f>1.8</f>
        <v>1.8</v>
      </c>
      <c r="F739" s="72">
        <v>4</v>
      </c>
      <c r="G739" s="31">
        <v>8.0500000000000007</v>
      </c>
      <c r="H739" s="117">
        <v>22.54</v>
      </c>
      <c r="I739" s="29"/>
      <c r="J739" s="117">
        <v>11.27</v>
      </c>
      <c r="L739" s="117">
        <f>H739-(I739+J739+K739)</f>
        <v>11.27</v>
      </c>
      <c r="M739" s="72">
        <f t="shared" si="20"/>
        <v>0</v>
      </c>
      <c r="O739" s="117"/>
    </row>
    <row r="740" spans="1:16">
      <c r="A740" s="28" t="s">
        <v>336</v>
      </c>
      <c r="B740" s="175"/>
      <c r="C740" s="28" t="s">
        <v>282</v>
      </c>
      <c r="D740" s="73">
        <f>6.2</f>
        <v>6.2</v>
      </c>
      <c r="E740" s="73">
        <f>4.5</f>
        <v>4.5</v>
      </c>
      <c r="F740" s="72">
        <v>24</v>
      </c>
      <c r="G740" s="31">
        <v>21.4</v>
      </c>
      <c r="H740" s="31">
        <v>59.92</v>
      </c>
      <c r="I740" s="31">
        <v>12.6</v>
      </c>
      <c r="J740" s="31">
        <v>34.72</v>
      </c>
      <c r="K740" s="114">
        <f>H740-(I740+J740)</f>
        <v>12.600000000000001</v>
      </c>
      <c r="L740" s="115"/>
      <c r="M740" s="72">
        <f t="shared" si="20"/>
        <v>0</v>
      </c>
      <c r="O740" s="72"/>
    </row>
    <row r="741" spans="1:16">
      <c r="A741" s="28" t="s">
        <v>337</v>
      </c>
      <c r="B741" s="175"/>
      <c r="C741" s="116" t="s">
        <v>163</v>
      </c>
      <c r="D741" s="134">
        <f>2.225</f>
        <v>2.2250000000000001</v>
      </c>
      <c r="E741" s="118">
        <f>1.8</f>
        <v>1.8</v>
      </c>
      <c r="F741" s="72">
        <v>4</v>
      </c>
      <c r="G741" s="31">
        <v>8.0500000000000007</v>
      </c>
      <c r="H741" s="117">
        <v>22.54</v>
      </c>
      <c r="I741" s="29"/>
      <c r="J741" s="117">
        <v>11.27</v>
      </c>
      <c r="L741" s="117">
        <f>H741-(I741+J741+K741)</f>
        <v>11.27</v>
      </c>
      <c r="M741" s="72">
        <f t="shared" si="20"/>
        <v>0</v>
      </c>
      <c r="O741" s="117"/>
    </row>
    <row r="742" spans="1:16">
      <c r="A742" s="28" t="s">
        <v>338</v>
      </c>
      <c r="B742" s="175"/>
      <c r="C742" s="28" t="s">
        <v>282</v>
      </c>
      <c r="D742" s="73">
        <f>6.2</f>
        <v>6.2</v>
      </c>
      <c r="E742" s="73">
        <f>4.5</f>
        <v>4.5</v>
      </c>
      <c r="F742" s="72">
        <v>24</v>
      </c>
      <c r="G742" s="31">
        <v>21.4</v>
      </c>
      <c r="H742" s="31">
        <v>59.92</v>
      </c>
      <c r="I742" s="31">
        <v>12.6</v>
      </c>
      <c r="J742" s="31">
        <v>34.72</v>
      </c>
      <c r="K742" s="114">
        <f>H742-(I742+J742)</f>
        <v>12.600000000000001</v>
      </c>
      <c r="L742" s="115"/>
      <c r="M742" s="72">
        <f t="shared" si="20"/>
        <v>0</v>
      </c>
      <c r="O742" s="72"/>
    </row>
    <row r="743" spans="1:16">
      <c r="A743" s="28" t="s">
        <v>339</v>
      </c>
      <c r="B743" s="175"/>
      <c r="C743" s="116" t="s">
        <v>163</v>
      </c>
      <c r="D743" s="134">
        <f>2.225</f>
        <v>2.2250000000000001</v>
      </c>
      <c r="E743" s="118">
        <f>1.8</f>
        <v>1.8</v>
      </c>
      <c r="F743" s="72">
        <v>4</v>
      </c>
      <c r="G743" s="31">
        <v>8.0500000000000007</v>
      </c>
      <c r="H743" s="117">
        <v>22.54</v>
      </c>
      <c r="I743" s="29"/>
      <c r="J743" s="117">
        <v>11.27</v>
      </c>
      <c r="L743" s="117">
        <f>H743-(I743+J743+K743)</f>
        <v>11.27</v>
      </c>
      <c r="M743" s="72">
        <f t="shared" si="20"/>
        <v>0</v>
      </c>
      <c r="O743" s="117"/>
    </row>
    <row r="744" spans="1:16">
      <c r="A744" s="28" t="s">
        <v>340</v>
      </c>
      <c r="B744" s="175"/>
      <c r="C744" s="116" t="s">
        <v>266</v>
      </c>
      <c r="D744" s="117">
        <f>2.85</f>
        <v>2.85</v>
      </c>
      <c r="E744" s="118">
        <f>1.35</f>
        <v>1.35</v>
      </c>
      <c r="F744" s="72">
        <v>4</v>
      </c>
      <c r="G744" s="31">
        <v>8.4</v>
      </c>
      <c r="H744" s="117">
        <v>23.52</v>
      </c>
      <c r="I744" s="29"/>
      <c r="J744" s="117">
        <v>11.76</v>
      </c>
      <c r="L744" s="117">
        <f>H744-(I744+J744+K744)</f>
        <v>11.76</v>
      </c>
      <c r="M744" s="72">
        <f t="shared" si="20"/>
        <v>0</v>
      </c>
      <c r="O744" s="117"/>
    </row>
    <row r="745" spans="1:16">
      <c r="A745" s="28" t="s">
        <v>341</v>
      </c>
      <c r="B745" s="175"/>
      <c r="C745" s="28" t="s">
        <v>342</v>
      </c>
      <c r="D745" s="31">
        <f>F745/E745</f>
        <v>1.5</v>
      </c>
      <c r="E745" s="73">
        <f>0.6</f>
        <v>0.6</v>
      </c>
      <c r="F745" s="72">
        <v>0.9</v>
      </c>
      <c r="G745" s="31">
        <v>4.2</v>
      </c>
      <c r="H745" s="31">
        <v>11.76</v>
      </c>
      <c r="I745" s="29"/>
      <c r="J745" s="31">
        <v>4.2</v>
      </c>
      <c r="K745" s="31">
        <f>H745-(I745+J745)</f>
        <v>7.56</v>
      </c>
      <c r="M745" s="72"/>
      <c r="O745" s="117"/>
    </row>
    <row r="746" spans="1:16">
      <c r="A746" s="31">
        <f>2*(D746+E746)+(D747*2+E747)+2*(D748+E748)</f>
        <v>224.9</v>
      </c>
      <c r="B746" s="175"/>
      <c r="C746" s="28" t="str">
        <f>C657</f>
        <v>2, stāva plāns AR-13</v>
      </c>
      <c r="D746" s="125">
        <f>65.9</f>
        <v>65.900000000000006</v>
      </c>
      <c r="E746" s="72">
        <f>15.55</f>
        <v>15.55</v>
      </c>
      <c r="F746" s="113">
        <v>1132.3</v>
      </c>
      <c r="G746" s="31">
        <v>1278.23</v>
      </c>
      <c r="H746" s="31">
        <v>3649.6840000000038</v>
      </c>
      <c r="I746" s="135" t="e">
        <f>NA()</f>
        <v>#N/A</v>
      </c>
      <c r="J746" s="136">
        <v>1595.568</v>
      </c>
      <c r="K746" s="136">
        <f>SUM(K659:K745)</f>
        <v>1085.6900000000005</v>
      </c>
      <c r="L746" s="137" t="e">
        <f>SUM(L659:L745)</f>
        <v>#N/A</v>
      </c>
      <c r="M746" s="72" t="e">
        <f>H746-(I746+J746+K746+L746)</f>
        <v>#N/A</v>
      </c>
      <c r="O746" s="117"/>
      <c r="P746" s="117"/>
    </row>
    <row r="747" spans="1:16">
      <c r="A747" s="31"/>
      <c r="B747" s="175"/>
      <c r="C747" s="129"/>
      <c r="D747" s="125">
        <f>25</f>
        <v>25</v>
      </c>
      <c r="E747" s="73">
        <f>12</f>
        <v>12</v>
      </c>
      <c r="F747" s="31">
        <v>1324.7449999999999</v>
      </c>
      <c r="H747" s="81"/>
      <c r="I747" s="81"/>
      <c r="J747" s="81"/>
      <c r="K747" s="109"/>
      <c r="L747" s="115"/>
      <c r="M747" s="72">
        <f>H747-(I747+J747+K747+L747)</f>
        <v>0</v>
      </c>
      <c r="O747" s="117"/>
      <c r="P747" s="117"/>
    </row>
    <row r="748" spans="1:16">
      <c r="A748" s="31"/>
      <c r="B748" s="175"/>
      <c r="D748" s="125"/>
      <c r="E748" s="73"/>
      <c r="F748" s="81">
        <v>660.8</v>
      </c>
      <c r="G748" s="81">
        <v>683.75</v>
      </c>
      <c r="H748" s="81"/>
      <c r="I748" s="81"/>
      <c r="J748" s="81"/>
      <c r="K748" s="109"/>
      <c r="L748" s="115"/>
      <c r="M748" s="72">
        <f>H748-(I748+J748+K748+L748)</f>
        <v>0</v>
      </c>
      <c r="O748" s="117"/>
      <c r="P748" s="117"/>
    </row>
    <row r="749" spans="1:16">
      <c r="A749" s="31"/>
      <c r="B749" s="175"/>
      <c r="C749" s="129"/>
      <c r="D749" s="125"/>
      <c r="E749" s="132"/>
      <c r="F749" s="72">
        <v>163.55000000000001</v>
      </c>
      <c r="G749" s="72">
        <v>290.08</v>
      </c>
      <c r="H749" s="130">
        <v>824.4639999999996</v>
      </c>
      <c r="I749" s="81"/>
      <c r="J749" s="81"/>
      <c r="K749" s="109"/>
      <c r="L749" s="115"/>
      <c r="M749" s="72"/>
      <c r="O749" s="117"/>
      <c r="P749" s="117"/>
    </row>
    <row r="750" spans="1:16">
      <c r="B750" s="175"/>
      <c r="C750" s="28" t="s">
        <v>343</v>
      </c>
      <c r="E750" s="106"/>
      <c r="F750" s="113"/>
      <c r="I750" s="138">
        <v>3</v>
      </c>
      <c r="M750" s="72"/>
      <c r="O750" s="72"/>
    </row>
    <row r="751" spans="1:16">
      <c r="A751" s="28">
        <f>1</f>
        <v>1</v>
      </c>
      <c r="B751" s="175"/>
      <c r="C751" s="28" t="s">
        <v>253</v>
      </c>
      <c r="D751" s="31">
        <f>5.2</f>
        <v>5.2</v>
      </c>
      <c r="E751" s="73">
        <f>2.75</f>
        <v>2.75</v>
      </c>
      <c r="F751" s="72">
        <v>15.9</v>
      </c>
      <c r="G751" s="31">
        <v>15.9</v>
      </c>
      <c r="H751" s="31">
        <v>47.7</v>
      </c>
      <c r="I751" s="31">
        <v>23.85</v>
      </c>
      <c r="J751" s="31">
        <v>23.85</v>
      </c>
      <c r="L751" s="115"/>
      <c r="M751" s="72">
        <f t="shared" ref="M751:M758" si="21">H751-(I751+J751+K751+L751)</f>
        <v>0</v>
      </c>
      <c r="O751" s="72"/>
    </row>
    <row r="752" spans="1:16">
      <c r="A752" s="29">
        <f>1+A751</f>
        <v>2</v>
      </c>
      <c r="B752" s="175"/>
      <c r="C752" s="28" t="s">
        <v>344</v>
      </c>
      <c r="D752" s="108">
        <f>65.9</f>
        <v>65.900000000000006</v>
      </c>
      <c r="E752" s="73">
        <f>8.5</f>
        <v>8.5</v>
      </c>
      <c r="F752" s="72">
        <v>476.7</v>
      </c>
      <c r="G752" s="31">
        <v>82.9</v>
      </c>
      <c r="H752" s="31">
        <v>248.7</v>
      </c>
      <c r="I752" s="31">
        <v>248.7</v>
      </c>
      <c r="J752" s="109"/>
      <c r="L752" s="72"/>
      <c r="M752" s="72">
        <f t="shared" si="21"/>
        <v>0</v>
      </c>
      <c r="O752" s="72"/>
    </row>
    <row r="753" spans="1:16">
      <c r="A753" s="29">
        <f>1+A752</f>
        <v>3</v>
      </c>
      <c r="B753" s="175"/>
      <c r="C753" s="28" t="s">
        <v>345</v>
      </c>
      <c r="D753" s="108">
        <f>8.175</f>
        <v>8.1750000000000007</v>
      </c>
      <c r="E753" s="73">
        <f>5</f>
        <v>5</v>
      </c>
      <c r="F753" s="72">
        <v>46.3</v>
      </c>
      <c r="G753" s="31">
        <v>26.35</v>
      </c>
      <c r="H753" s="31">
        <v>79.05</v>
      </c>
      <c r="J753" s="109"/>
      <c r="K753" s="31">
        <f>2*(D753+E753)*I$750</f>
        <v>79.050000000000011</v>
      </c>
      <c r="M753" s="72">
        <f t="shared" si="21"/>
        <v>0</v>
      </c>
      <c r="O753" s="72"/>
    </row>
    <row r="754" spans="1:16">
      <c r="A754" s="29">
        <f>1+A753</f>
        <v>4</v>
      </c>
      <c r="B754" s="175"/>
      <c r="C754" s="28" t="s">
        <v>345</v>
      </c>
      <c r="D754" s="108">
        <f>9</f>
        <v>9</v>
      </c>
      <c r="E754" s="73">
        <f>6.35</f>
        <v>6.35</v>
      </c>
      <c r="F754" s="72">
        <v>55.8</v>
      </c>
      <c r="G754" s="31">
        <v>30.7</v>
      </c>
      <c r="H754" s="31">
        <v>92.1</v>
      </c>
      <c r="I754" s="31">
        <v>27</v>
      </c>
      <c r="J754" s="109"/>
      <c r="K754" s="31">
        <f>(D754+E754+D754)*I$750</f>
        <v>73.050000000000011</v>
      </c>
      <c r="M754" s="72">
        <f t="shared" si="21"/>
        <v>-7.9500000000000171</v>
      </c>
    </row>
    <row r="755" spans="1:16">
      <c r="A755" s="29">
        <f>1+A754</f>
        <v>5</v>
      </c>
      <c r="B755" s="175"/>
      <c r="C755" s="28" t="s">
        <v>344</v>
      </c>
      <c r="D755" s="108">
        <f>65.9</f>
        <v>65.900000000000006</v>
      </c>
      <c r="E755" s="73">
        <f>6.2</f>
        <v>6.2</v>
      </c>
      <c r="F755" s="72">
        <v>336.4</v>
      </c>
      <c r="G755" s="31">
        <v>78.3</v>
      </c>
      <c r="H755" s="31">
        <v>247.2</v>
      </c>
      <c r="I755" s="31">
        <v>247.2</v>
      </c>
      <c r="J755" s="109"/>
      <c r="M755" s="72">
        <f t="shared" si="21"/>
        <v>0</v>
      </c>
    </row>
    <row r="756" spans="1:16">
      <c r="A756" s="29">
        <f>1+A755</f>
        <v>6</v>
      </c>
      <c r="B756" s="175"/>
      <c r="C756" s="28" t="s">
        <v>345</v>
      </c>
      <c r="D756" s="31">
        <f>9.45</f>
        <v>9.4499999999999993</v>
      </c>
      <c r="E756" s="73">
        <f>4.9</f>
        <v>4.9000000000000004</v>
      </c>
      <c r="F756" s="72">
        <v>43.9</v>
      </c>
      <c r="G756" s="31">
        <v>28.7</v>
      </c>
      <c r="H756" s="31">
        <v>86.1</v>
      </c>
      <c r="I756" s="31">
        <v>14.7</v>
      </c>
      <c r="J756" s="109"/>
      <c r="K756" s="31">
        <f>(D756+E756+D756)*I$750</f>
        <v>71.399999999999991</v>
      </c>
      <c r="M756" s="72">
        <f t="shared" si="21"/>
        <v>0</v>
      </c>
      <c r="O756" s="72"/>
    </row>
    <row r="757" spans="1:16">
      <c r="A757" s="31">
        <f>2*(D757+E757)+(D758*2+E758)+2*(D759+E759)</f>
        <v>224.9</v>
      </c>
      <c r="B757" s="175"/>
      <c r="C757" s="139" t="str">
        <f>C750</f>
        <v>Bēninu stāva plāns AR-14</v>
      </c>
      <c r="D757" s="125">
        <f>65.9</f>
        <v>65.900000000000006</v>
      </c>
      <c r="E757" s="72">
        <f>15.55</f>
        <v>15.55</v>
      </c>
      <c r="F757" s="31">
        <v>975</v>
      </c>
      <c r="G757" s="31">
        <v>800.85</v>
      </c>
      <c r="H757" s="31">
        <v>564.45000000000005</v>
      </c>
      <c r="I757" s="136">
        <v>564.45000000000005</v>
      </c>
      <c r="J757" s="140">
        <v>23.85</v>
      </c>
      <c r="K757" s="141">
        <f>SUM(K750:K756)</f>
        <v>223.5</v>
      </c>
      <c r="L757" s="117">
        <f>SUM(L750:L756)</f>
        <v>0</v>
      </c>
      <c r="M757" s="72">
        <f t="shared" si="21"/>
        <v>-247.35000000000002</v>
      </c>
      <c r="O757" s="117"/>
    </row>
    <row r="758" spans="1:16">
      <c r="A758" s="70"/>
      <c r="B758" s="175"/>
      <c r="C758" s="70" t="s">
        <v>346</v>
      </c>
      <c r="D758" s="125">
        <f>25</f>
        <v>25</v>
      </c>
      <c r="E758" s="73">
        <f>12</f>
        <v>12</v>
      </c>
      <c r="F758" s="72">
        <v>3366.65</v>
      </c>
      <c r="G758" s="72">
        <v>3303.2212767425808</v>
      </c>
      <c r="H758" s="72" t="e">
        <f>NA()</f>
        <v>#N/A</v>
      </c>
      <c r="I758" s="142" t="e">
        <f>NA()</f>
        <v>#N/A</v>
      </c>
      <c r="J758" s="143" t="e">
        <f>NA()</f>
        <v>#N/A</v>
      </c>
      <c r="K758" s="144" t="e">
        <f>K650+K746+K757</f>
        <v>#N/A</v>
      </c>
      <c r="L758" s="145" t="e">
        <f>L650+L746+L757</f>
        <v>#N/A</v>
      </c>
      <c r="M758" s="72" t="e">
        <f t="shared" si="21"/>
        <v>#N/A</v>
      </c>
      <c r="O758" s="130"/>
      <c r="P758" s="106"/>
    </row>
    <row r="759" spans="1:16">
      <c r="A759" s="70"/>
      <c r="B759" s="175"/>
      <c r="D759" s="71"/>
      <c r="E759" s="72"/>
      <c r="F759" s="81"/>
      <c r="G759" s="81"/>
      <c r="H759" s="72" t="e">
        <f>NA()</f>
        <v>#N/A</v>
      </c>
      <c r="I759" s="146" t="e">
        <f>NA()</f>
        <v>#N/A</v>
      </c>
      <c r="J759" s="147"/>
      <c r="L759" s="147"/>
    </row>
    <row r="760" spans="1:16">
      <c r="A760" s="98"/>
      <c r="B760" s="175"/>
      <c r="I760" s="148">
        <v>2127.9499999999998</v>
      </c>
      <c r="L760" s="31" t="e">
        <f>J758+I759</f>
        <v>#N/A</v>
      </c>
    </row>
    <row r="761" spans="1:16">
      <c r="A761" s="29"/>
      <c r="B761" s="175"/>
      <c r="D761" s="29"/>
      <c r="E761" s="29"/>
    </row>
    <row r="762" spans="1:16">
      <c r="A762" s="29"/>
      <c r="B762" s="175"/>
      <c r="D762" s="29"/>
      <c r="E762" s="29"/>
    </row>
    <row r="763" spans="1:16">
      <c r="A763" s="29"/>
      <c r="B763" s="175"/>
      <c r="D763" s="29"/>
      <c r="E763" s="29"/>
    </row>
    <row r="764" spans="1:16">
      <c r="A764" s="29"/>
      <c r="B764" s="175"/>
      <c r="D764" s="29"/>
      <c r="E764" s="29"/>
    </row>
    <row r="765" spans="1:16">
      <c r="A765" s="29"/>
      <c r="B765" s="175"/>
      <c r="D765" s="29"/>
      <c r="E765" s="29"/>
    </row>
    <row r="766" spans="1:16">
      <c r="A766" s="29"/>
      <c r="B766" s="175"/>
      <c r="D766" s="29"/>
      <c r="E766" s="29"/>
    </row>
    <row r="767" spans="1:16">
      <c r="A767" s="29"/>
      <c r="B767" s="175"/>
      <c r="D767" s="29"/>
      <c r="E767" s="29"/>
    </row>
    <row r="768" spans="1:16">
      <c r="A768" s="29"/>
      <c r="B768" s="175"/>
      <c r="D768" s="29"/>
      <c r="E768" s="29"/>
    </row>
    <row r="769" spans="1:5">
      <c r="A769" s="29"/>
      <c r="B769" s="175"/>
      <c r="D769" s="29"/>
      <c r="E769" s="29"/>
    </row>
    <row r="770" spans="1:5">
      <c r="A770" s="29"/>
      <c r="B770" s="175"/>
      <c r="D770" s="29"/>
      <c r="E770" s="29"/>
    </row>
    <row r="771" spans="1:5">
      <c r="A771" s="29"/>
      <c r="B771" s="175"/>
      <c r="D771" s="29"/>
      <c r="E771" s="29"/>
    </row>
    <row r="772" spans="1:5">
      <c r="A772" s="29"/>
      <c r="B772" s="175"/>
      <c r="D772" s="29"/>
      <c r="E772" s="29"/>
    </row>
    <row r="773" spans="1:5">
      <c r="A773" s="29"/>
      <c r="B773" s="175"/>
      <c r="D773" s="29"/>
      <c r="E773" s="29"/>
    </row>
    <row r="774" spans="1:5">
      <c r="A774" s="29"/>
      <c r="B774" s="175"/>
      <c r="D774" s="29"/>
      <c r="E774" s="29"/>
    </row>
    <row r="775" spans="1:5">
      <c r="A775" s="29"/>
      <c r="B775" s="175"/>
      <c r="D775" s="29"/>
      <c r="E775" s="29"/>
    </row>
    <row r="776" spans="1:5">
      <c r="A776" s="29"/>
      <c r="B776" s="175"/>
      <c r="D776" s="29"/>
      <c r="E776" s="29"/>
    </row>
    <row r="777" spans="1:5">
      <c r="A777" s="29"/>
      <c r="B777" s="175"/>
      <c r="D777" s="29"/>
      <c r="E777" s="29"/>
    </row>
    <row r="778" spans="1:5">
      <c r="A778" s="29"/>
      <c r="B778" s="175"/>
      <c r="D778" s="29"/>
      <c r="E778" s="29"/>
    </row>
    <row r="779" spans="1:5">
      <c r="A779" s="29"/>
      <c r="B779" s="175"/>
      <c r="D779" s="29"/>
      <c r="E779" s="29"/>
    </row>
    <row r="780" spans="1:5">
      <c r="A780" s="29"/>
      <c r="B780" s="175"/>
      <c r="D780" s="29"/>
      <c r="E780" s="29"/>
    </row>
    <row r="781" spans="1:5">
      <c r="A781" s="29"/>
      <c r="B781" s="175"/>
      <c r="D781" s="29"/>
      <c r="E781" s="29"/>
    </row>
    <row r="782" spans="1:5">
      <c r="A782" s="29"/>
      <c r="B782" s="175"/>
      <c r="D782" s="29"/>
      <c r="E782" s="29"/>
    </row>
    <row r="783" spans="1:5">
      <c r="A783" s="29"/>
      <c r="B783" s="175"/>
      <c r="D783" s="29"/>
      <c r="E783" s="29"/>
    </row>
    <row r="784" spans="1:5">
      <c r="A784" s="29"/>
      <c r="B784" s="175"/>
      <c r="D784" s="29"/>
      <c r="E784" s="29"/>
    </row>
    <row r="785" spans="1:5">
      <c r="A785" s="29"/>
      <c r="B785" s="175"/>
      <c r="D785" s="29"/>
      <c r="E785" s="29"/>
    </row>
    <row r="786" spans="1:5">
      <c r="A786" s="29"/>
      <c r="B786" s="175"/>
      <c r="D786" s="29"/>
      <c r="E786" s="29"/>
    </row>
    <row r="787" spans="1:5">
      <c r="A787" s="29"/>
      <c r="B787" s="175"/>
      <c r="D787" s="29"/>
      <c r="E787" s="29"/>
    </row>
    <row r="788" spans="1:5">
      <c r="A788" s="29"/>
      <c r="B788" s="175"/>
      <c r="D788" s="29"/>
      <c r="E788" s="29"/>
    </row>
    <row r="789" spans="1:5">
      <c r="A789" s="29"/>
      <c r="B789" s="175"/>
      <c r="D789" s="29"/>
      <c r="E789" s="29"/>
    </row>
    <row r="790" spans="1:5">
      <c r="A790" s="29"/>
      <c r="B790" s="175"/>
      <c r="D790" s="29"/>
      <c r="E790" s="29"/>
    </row>
    <row r="791" spans="1:5">
      <c r="A791" s="29"/>
      <c r="B791" s="175"/>
      <c r="D791" s="29"/>
      <c r="E791" s="29"/>
    </row>
    <row r="792" spans="1:5">
      <c r="A792" s="29"/>
      <c r="B792" s="175"/>
      <c r="D792" s="29"/>
      <c r="E792" s="29"/>
    </row>
    <row r="793" spans="1:5">
      <c r="A793" s="29"/>
      <c r="B793" s="175"/>
      <c r="D793" s="29"/>
      <c r="E793" s="29"/>
    </row>
    <row r="794" spans="1:5">
      <c r="A794" s="29"/>
      <c r="B794" s="175"/>
      <c r="D794" s="29"/>
      <c r="E794" s="29"/>
    </row>
    <row r="795" spans="1:5">
      <c r="A795" s="29"/>
      <c r="B795" s="175"/>
      <c r="D795" s="29"/>
      <c r="E795" s="29"/>
    </row>
    <row r="796" spans="1:5">
      <c r="A796" s="29"/>
      <c r="B796" s="175"/>
      <c r="D796" s="29"/>
      <c r="E796" s="29"/>
    </row>
    <row r="797" spans="1:5">
      <c r="A797" s="29"/>
      <c r="B797" s="175"/>
      <c r="D797" s="29"/>
      <c r="E797" s="29"/>
    </row>
    <row r="798" spans="1:5">
      <c r="A798" s="29"/>
      <c r="B798" s="175"/>
      <c r="D798" s="29"/>
      <c r="E798" s="29"/>
    </row>
    <row r="799" spans="1:5">
      <c r="A799" s="29"/>
      <c r="B799" s="175"/>
      <c r="D799" s="29"/>
      <c r="E799" s="29"/>
    </row>
    <row r="800" spans="1:5">
      <c r="A800" s="29"/>
      <c r="B800" s="175"/>
      <c r="D800" s="29"/>
      <c r="E800" s="29"/>
    </row>
    <row r="801" spans="1:5">
      <c r="A801" s="29"/>
      <c r="B801" s="175"/>
      <c r="D801" s="29"/>
      <c r="E801" s="29"/>
    </row>
    <row r="802" spans="1:5">
      <c r="A802" s="29"/>
      <c r="B802" s="175"/>
      <c r="D802" s="29"/>
      <c r="E802" s="29"/>
    </row>
    <row r="803" spans="1:5">
      <c r="A803" s="29"/>
      <c r="B803" s="175"/>
      <c r="D803" s="29"/>
      <c r="E803" s="29"/>
    </row>
    <row r="804" spans="1:5">
      <c r="A804" s="29"/>
      <c r="B804" s="175"/>
      <c r="D804" s="29"/>
      <c r="E804" s="29"/>
    </row>
    <row r="805" spans="1:5">
      <c r="A805" s="29"/>
      <c r="B805" s="175"/>
      <c r="D805" s="29"/>
      <c r="E805" s="29"/>
    </row>
    <row r="806" spans="1:5">
      <c r="A806" s="29"/>
      <c r="B806" s="175"/>
      <c r="D806" s="29"/>
      <c r="E806" s="29"/>
    </row>
    <row r="807" spans="1:5">
      <c r="A807" s="29"/>
      <c r="B807" s="175"/>
      <c r="D807" s="29"/>
      <c r="E807" s="29"/>
    </row>
    <row r="808" spans="1:5">
      <c r="A808" s="29"/>
      <c r="B808" s="175"/>
      <c r="D808" s="29"/>
      <c r="E808" s="29"/>
    </row>
    <row r="809" spans="1:5">
      <c r="A809" s="29"/>
      <c r="B809" s="175"/>
      <c r="D809" s="29"/>
      <c r="E809" s="29"/>
    </row>
    <row r="810" spans="1:5">
      <c r="A810" s="29"/>
      <c r="B810" s="175"/>
      <c r="D810" s="29"/>
      <c r="E810" s="29"/>
    </row>
    <row r="811" spans="1:5">
      <c r="A811" s="29"/>
      <c r="B811" s="175"/>
      <c r="D811" s="29"/>
      <c r="E811" s="29"/>
    </row>
    <row r="812" spans="1:5">
      <c r="A812" s="29"/>
      <c r="B812" s="175"/>
      <c r="D812" s="29"/>
      <c r="E812" s="29"/>
    </row>
    <row r="813" spans="1:5">
      <c r="A813" s="29"/>
      <c r="B813" s="175"/>
      <c r="D813" s="29"/>
      <c r="E813" s="29"/>
    </row>
    <row r="814" spans="1:5">
      <c r="A814" s="29"/>
      <c r="B814" s="175"/>
      <c r="D814" s="29"/>
      <c r="E814" s="29"/>
    </row>
    <row r="815" spans="1:5">
      <c r="A815" s="29"/>
      <c r="B815" s="175"/>
      <c r="D815" s="29"/>
      <c r="E815" s="29"/>
    </row>
    <row r="816" spans="1:5">
      <c r="A816" s="29"/>
      <c r="B816" s="175"/>
      <c r="D816" s="29"/>
      <c r="E816" s="29"/>
    </row>
    <row r="817" spans="1:5">
      <c r="A817" s="29"/>
      <c r="B817" s="175"/>
      <c r="D817" s="29"/>
      <c r="E817" s="29"/>
    </row>
    <row r="818" spans="1:5">
      <c r="A818" s="29"/>
      <c r="B818" s="175"/>
      <c r="D818" s="29"/>
      <c r="E818" s="29"/>
    </row>
    <row r="819" spans="1:5">
      <c r="A819" s="29"/>
      <c r="B819" s="175"/>
      <c r="D819" s="29"/>
      <c r="E819" s="29"/>
    </row>
    <row r="820" spans="1:5">
      <c r="A820" s="29"/>
      <c r="B820" s="175"/>
      <c r="D820" s="29"/>
      <c r="E820" s="29"/>
    </row>
    <row r="821" spans="1:5">
      <c r="A821" s="29"/>
      <c r="B821" s="175"/>
      <c r="D821" s="29"/>
      <c r="E821" s="29"/>
    </row>
    <row r="822" spans="1:5">
      <c r="A822" s="29"/>
      <c r="B822" s="175"/>
      <c r="D822" s="29"/>
      <c r="E822" s="29"/>
    </row>
    <row r="823" spans="1:5">
      <c r="A823" s="29"/>
      <c r="B823" s="175"/>
      <c r="D823" s="29"/>
      <c r="E823" s="29"/>
    </row>
    <row r="824" spans="1:5">
      <c r="A824" s="29"/>
      <c r="B824" s="175"/>
      <c r="D824" s="29"/>
      <c r="E824" s="29"/>
    </row>
    <row r="825" spans="1:5">
      <c r="A825" s="29"/>
      <c r="B825" s="175"/>
      <c r="D825" s="29"/>
      <c r="E825" s="29"/>
    </row>
    <row r="826" spans="1:5">
      <c r="A826" s="29"/>
      <c r="B826" s="175"/>
      <c r="D826" s="29"/>
      <c r="E826" s="29"/>
    </row>
    <row r="827" spans="1:5">
      <c r="A827" s="29"/>
      <c r="B827" s="175"/>
      <c r="D827" s="29"/>
      <c r="E827" s="29"/>
    </row>
    <row r="828" spans="1:5">
      <c r="A828" s="29"/>
      <c r="B828" s="175"/>
      <c r="D828" s="29"/>
      <c r="E828" s="29"/>
    </row>
    <row r="829" spans="1:5">
      <c r="A829" s="29"/>
      <c r="B829" s="175"/>
      <c r="D829" s="29"/>
      <c r="E829" s="29"/>
    </row>
    <row r="830" spans="1:5">
      <c r="A830" s="29"/>
      <c r="B830" s="175"/>
      <c r="D830" s="29"/>
      <c r="E830" s="29"/>
    </row>
    <row r="831" spans="1:5">
      <c r="A831" s="29"/>
      <c r="B831" s="175"/>
      <c r="D831" s="29"/>
      <c r="E831" s="29"/>
    </row>
    <row r="832" spans="1:5">
      <c r="A832" s="29"/>
      <c r="B832" s="175"/>
      <c r="D832" s="29"/>
      <c r="E832" s="29"/>
    </row>
    <row r="833" spans="1:5">
      <c r="A833" s="29"/>
      <c r="B833" s="175"/>
      <c r="D833" s="29"/>
      <c r="E833" s="29"/>
    </row>
    <row r="834" spans="1:5">
      <c r="A834" s="29"/>
      <c r="B834" s="175"/>
      <c r="D834" s="29"/>
      <c r="E834" s="29"/>
    </row>
    <row r="835" spans="1:5">
      <c r="A835" s="29"/>
      <c r="B835" s="175"/>
      <c r="D835" s="29"/>
      <c r="E835" s="29"/>
    </row>
    <row r="836" spans="1:5">
      <c r="A836" s="29"/>
      <c r="B836" s="175"/>
      <c r="D836" s="29"/>
      <c r="E836" s="29"/>
    </row>
    <row r="837" spans="1:5">
      <c r="A837" s="29"/>
      <c r="B837" s="175"/>
      <c r="D837" s="29"/>
      <c r="E837" s="29"/>
    </row>
    <row r="838" spans="1:5">
      <c r="A838" s="29"/>
      <c r="B838" s="175"/>
      <c r="D838" s="29"/>
      <c r="E838" s="29"/>
    </row>
    <row r="839" spans="1:5">
      <c r="A839" s="29"/>
      <c r="B839" s="175"/>
      <c r="D839" s="29"/>
      <c r="E839" s="29"/>
    </row>
    <row r="840" spans="1:5">
      <c r="A840" s="29"/>
      <c r="B840" s="175"/>
      <c r="D840" s="29"/>
      <c r="E840" s="29"/>
    </row>
    <row r="841" spans="1:5">
      <c r="A841" s="29"/>
      <c r="B841" s="175"/>
      <c r="D841" s="29"/>
      <c r="E841" s="29"/>
    </row>
    <row r="842" spans="1:5">
      <c r="A842" s="29"/>
      <c r="B842" s="175"/>
      <c r="D842" s="29"/>
      <c r="E842" s="29"/>
    </row>
    <row r="843" spans="1:5">
      <c r="A843" s="29"/>
      <c r="B843" s="196"/>
      <c r="D843" s="29"/>
      <c r="E843" s="29"/>
    </row>
    <row r="844" spans="1:5">
      <c r="A844" s="29"/>
      <c r="D844" s="29"/>
      <c r="E844" s="29"/>
    </row>
    <row r="845" spans="1:5">
      <c r="A845" s="29"/>
      <c r="D845" s="29"/>
      <c r="E845" s="29"/>
    </row>
    <row r="846" spans="1:5">
      <c r="A846" s="29"/>
      <c r="D846" s="29"/>
      <c r="E846" s="29"/>
    </row>
    <row r="847" spans="1:5">
      <c r="A847" s="29"/>
      <c r="D847" s="29"/>
      <c r="E847" s="29"/>
    </row>
    <row r="848" spans="1:5">
      <c r="A848" s="29"/>
      <c r="D848" s="29"/>
      <c r="E848" s="29"/>
    </row>
    <row r="849" spans="1:5">
      <c r="A849" s="29"/>
      <c r="D849" s="29"/>
      <c r="E849" s="29"/>
    </row>
    <row r="850" spans="1:5">
      <c r="A850" s="29"/>
      <c r="D850" s="29"/>
      <c r="E850" s="29"/>
    </row>
    <row r="851" spans="1:5">
      <c r="A851" s="29"/>
      <c r="D851" s="29"/>
      <c r="E851" s="29"/>
    </row>
    <row r="852" spans="1:5">
      <c r="A852" s="29"/>
      <c r="D852" s="29"/>
      <c r="E852" s="29"/>
    </row>
    <row r="853" spans="1:5">
      <c r="A853" s="29"/>
      <c r="D853" s="29"/>
      <c r="E853" s="29"/>
    </row>
    <row r="854" spans="1:5">
      <c r="A854" s="29"/>
      <c r="D854" s="29"/>
      <c r="E854" s="29"/>
    </row>
    <row r="855" spans="1:5">
      <c r="A855" s="29"/>
      <c r="D855" s="29"/>
      <c r="E855" s="29"/>
    </row>
    <row r="856" spans="1:5">
      <c r="A856" s="29"/>
      <c r="D856" s="29"/>
      <c r="E856" s="29"/>
    </row>
    <row r="857" spans="1:5">
      <c r="A857" s="29"/>
      <c r="D857" s="29"/>
      <c r="E857" s="29"/>
    </row>
    <row r="858" spans="1:5">
      <c r="A858" s="29"/>
      <c r="D858" s="29"/>
      <c r="E858" s="29"/>
    </row>
    <row r="859" spans="1:5">
      <c r="A859" s="29"/>
      <c r="D859" s="29"/>
      <c r="E859" s="29"/>
    </row>
    <row r="860" spans="1:5">
      <c r="A860" s="29"/>
      <c r="D860" s="29"/>
      <c r="E860" s="29"/>
    </row>
    <row r="861" spans="1:5">
      <c r="A861" s="29"/>
      <c r="D861" s="29"/>
      <c r="E861" s="29"/>
    </row>
    <row r="862" spans="1:5">
      <c r="A862" s="29"/>
      <c r="D862" s="29"/>
      <c r="E862" s="29"/>
    </row>
    <row r="863" spans="1:5">
      <c r="A863" s="29"/>
      <c r="D863" s="29"/>
      <c r="E863" s="29"/>
    </row>
    <row r="864" spans="1:5">
      <c r="A864" s="29"/>
      <c r="D864" s="29"/>
      <c r="E864" s="29"/>
    </row>
    <row r="865" spans="1:5">
      <c r="A865" s="29"/>
      <c r="D865" s="29"/>
      <c r="E865" s="29"/>
    </row>
    <row r="866" spans="1:5">
      <c r="A866" s="29"/>
      <c r="D866" s="29"/>
      <c r="E866" s="29"/>
    </row>
    <row r="867" spans="1:5">
      <c r="A867" s="29"/>
      <c r="D867" s="29"/>
      <c r="E867" s="29"/>
    </row>
    <row r="868" spans="1:5">
      <c r="A868" s="29"/>
      <c r="D868" s="29"/>
      <c r="E868" s="29"/>
    </row>
    <row r="869" spans="1:5">
      <c r="A869" s="29"/>
      <c r="D869" s="29"/>
      <c r="E869" s="29"/>
    </row>
    <row r="870" spans="1:5">
      <c r="A870" s="29"/>
      <c r="D870" s="29"/>
      <c r="E870" s="29"/>
    </row>
    <row r="871" spans="1:5">
      <c r="A871" s="29"/>
      <c r="D871" s="29"/>
      <c r="E871" s="29"/>
    </row>
    <row r="872" spans="1:5">
      <c r="A872" s="29"/>
      <c r="D872" s="29"/>
      <c r="E872" s="29"/>
    </row>
    <row r="873" spans="1:5">
      <c r="A873" s="29"/>
      <c r="D873" s="29"/>
      <c r="E873" s="29"/>
    </row>
    <row r="874" spans="1:5">
      <c r="A874" s="29"/>
      <c r="D874" s="29"/>
      <c r="E874" s="29"/>
    </row>
    <row r="875" spans="1:5">
      <c r="A875" s="29"/>
      <c r="D875" s="29"/>
      <c r="E875" s="29"/>
    </row>
    <row r="876" spans="1:5">
      <c r="A876" s="29"/>
      <c r="D876" s="29"/>
      <c r="E876" s="29"/>
    </row>
    <row r="877" spans="1:5">
      <c r="A877" s="29"/>
      <c r="D877" s="29"/>
      <c r="E877" s="29"/>
    </row>
    <row r="878" spans="1:5">
      <c r="A878" s="29"/>
      <c r="D878" s="29"/>
      <c r="E878" s="29"/>
    </row>
    <row r="879" spans="1:5">
      <c r="A879" s="29"/>
      <c r="D879" s="29"/>
      <c r="E879" s="29"/>
    </row>
    <row r="880" spans="1:5">
      <c r="A880" s="29"/>
      <c r="D880" s="29"/>
      <c r="E880" s="29"/>
    </row>
    <row r="881" spans="1:5">
      <c r="A881" s="29"/>
      <c r="D881" s="29"/>
      <c r="E881" s="29"/>
    </row>
    <row r="882" spans="1:5">
      <c r="A882" s="29"/>
      <c r="D882" s="29"/>
      <c r="E882" s="29"/>
    </row>
    <row r="883" spans="1:5">
      <c r="A883" s="29"/>
      <c r="D883" s="29"/>
      <c r="E883" s="29"/>
    </row>
    <row r="884" spans="1:5">
      <c r="A884" s="121"/>
      <c r="C884" s="96"/>
      <c r="D884" s="71"/>
      <c r="E884" s="150"/>
    </row>
  </sheetData>
  <sheetProtection selectLockedCells="1" selectUnlockedCells="1"/>
  <mergeCells count="19">
    <mergeCell ref="C29:G29"/>
    <mergeCell ref="K29:P29"/>
    <mergeCell ref="I31:J31"/>
    <mergeCell ref="F10:K10"/>
    <mergeCell ref="L10:P10"/>
    <mergeCell ref="C22:K22"/>
    <mergeCell ref="C23:K23"/>
    <mergeCell ref="A28:B28"/>
    <mergeCell ref="I28:J28"/>
    <mergeCell ref="A1:P1"/>
    <mergeCell ref="A2:P2"/>
    <mergeCell ref="M8:N8"/>
    <mergeCell ref="O8:P8"/>
    <mergeCell ref="G9:H9"/>
    <mergeCell ref="A10:A11"/>
    <mergeCell ref="B10:B11"/>
    <mergeCell ref="C10:C11"/>
    <mergeCell ref="D10:D11"/>
    <mergeCell ref="E10:E11"/>
  </mergeCells>
  <printOptions horizontalCentered="1"/>
  <pageMargins left="0.39374999999999999" right="0.39374999999999999" top="1.1812499999999999" bottom="0.59166666666666667" header="0.51180555555555551" footer="0.19652777777777777"/>
  <pageSetup paperSize="9" scale="70" fitToHeight="3" orientation="landscape" useFirstPageNumber="1" horizontalDpi="300" verticalDpi="300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81"/>
  <sheetViews>
    <sheetView zoomScale="50" zoomScaleNormal="50" workbookViewId="0">
      <selection activeCell="R35" sqref="R35"/>
    </sheetView>
  </sheetViews>
  <sheetFormatPr defaultColWidth="33.296875" defaultRowHeight="12.75"/>
  <cols>
    <col min="1" max="1" width="4.296875" style="28" customWidth="1"/>
    <col min="2" max="2" width="9.3984375" style="154" customWidth="1"/>
    <col min="3" max="3" width="26.59765625" style="29" customWidth="1"/>
    <col min="4" max="4" width="5.59765625" style="30" customWidth="1"/>
    <col min="5" max="5" width="9.796875" style="28" customWidth="1"/>
    <col min="6" max="6" width="5.3984375" style="29" customWidth="1"/>
    <col min="7" max="7" width="6.796875" style="29" customWidth="1"/>
    <col min="8" max="8" width="7.69921875" style="31" customWidth="1"/>
    <col min="9" max="9" width="8.19921875" style="31" customWidth="1"/>
    <col min="10" max="10" width="7" style="29" customWidth="1"/>
    <col min="11" max="11" width="9.8984375" style="29" customWidth="1"/>
    <col min="12" max="12" width="9.796875" style="29" customWidth="1"/>
    <col min="13" max="13" width="10.3984375" style="29" customWidth="1"/>
    <col min="14" max="14" width="10.796875" style="29" customWidth="1"/>
    <col min="15" max="15" width="10.296875" style="29" customWidth="1"/>
    <col min="16" max="16" width="10.3984375" style="29" customWidth="1"/>
    <col min="17" max="33" width="10.19921875" style="29" customWidth="1"/>
    <col min="34" max="16384" width="33.296875" style="29"/>
  </cols>
  <sheetData>
    <row r="1" spans="1:16" ht="20.100000000000001" customHeight="1">
      <c r="A1" s="269" t="s">
        <v>403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</row>
    <row r="2" spans="1:16" ht="20.100000000000001" customHeight="1">
      <c r="A2" s="270" t="s">
        <v>497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</row>
    <row r="3" spans="1:16" ht="19.5" customHeight="1">
      <c r="A3" s="32"/>
      <c r="B3" s="32"/>
      <c r="C3" s="240"/>
      <c r="D3" s="239"/>
      <c r="E3" s="239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16" ht="20.100000000000001" customHeight="1">
      <c r="A4" s="32"/>
      <c r="B4" s="32"/>
      <c r="C4" s="240"/>
      <c r="D4" s="239"/>
      <c r="E4" s="239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</row>
    <row r="5" spans="1:16" ht="20.100000000000001" customHeight="1">
      <c r="A5" s="32" t="str">
        <f>KA_1!A4:H4</f>
        <v>Objekta nosaukums un adrese: Skvēru un piegulošās teritorijas labiekārtojums, 1.kārta,  Rīgas ielā 101 un 103, Līvānos</v>
      </c>
      <c r="B5" s="32"/>
      <c r="C5" s="240"/>
      <c r="D5" s="239"/>
      <c r="E5" s="239"/>
      <c r="F5" s="35"/>
      <c r="G5" s="35"/>
      <c r="H5" s="35"/>
      <c r="I5" s="35"/>
      <c r="J5" s="35"/>
      <c r="K5" s="35"/>
      <c r="M5" s="36"/>
      <c r="N5" s="35"/>
      <c r="O5" s="35"/>
      <c r="P5" s="35"/>
    </row>
    <row r="6" spans="1:16" ht="20.100000000000001" customHeight="1">
      <c r="A6" s="32" t="str">
        <f>KA_1!A5:H5</f>
        <v>Pasūtījuma Nr.:             16-02</v>
      </c>
      <c r="B6" s="32"/>
      <c r="C6" s="240"/>
      <c r="D6" s="239"/>
      <c r="E6" s="239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 ht="20.100000000000001" customHeight="1">
      <c r="A7" s="32" t="s">
        <v>409</v>
      </c>
      <c r="B7" s="32"/>
      <c r="C7" s="240"/>
      <c r="D7" s="239"/>
      <c r="E7" s="239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6" ht="20.100000000000001" customHeight="1">
      <c r="A8" s="32"/>
      <c r="B8" s="37"/>
      <c r="C8" s="240"/>
      <c r="D8" s="239"/>
      <c r="E8" s="29"/>
      <c r="F8" s="35"/>
      <c r="G8" s="35"/>
      <c r="H8" s="35"/>
      <c r="I8" s="35"/>
      <c r="J8" s="35"/>
      <c r="K8" s="38"/>
      <c r="L8" s="35"/>
      <c r="M8" s="271" t="s">
        <v>394</v>
      </c>
      <c r="N8" s="271"/>
      <c r="O8" s="272">
        <f>P20</f>
        <v>0</v>
      </c>
      <c r="P8" s="272"/>
    </row>
    <row r="9" spans="1:16" ht="15" customHeight="1">
      <c r="A9" s="155"/>
      <c r="B9" s="155"/>
      <c r="C9" s="151"/>
      <c r="D9" s="156"/>
      <c r="E9" s="157"/>
      <c r="F9" s="158"/>
      <c r="G9" s="281"/>
      <c r="H9" s="281"/>
      <c r="I9" s="158"/>
      <c r="J9" s="158"/>
      <c r="K9" s="157"/>
      <c r="L9" s="242"/>
      <c r="M9" s="157"/>
      <c r="N9" s="158"/>
      <c r="O9" s="158"/>
      <c r="P9" s="158"/>
    </row>
    <row r="10" spans="1:16" ht="20.100000000000001" customHeight="1">
      <c r="A10" s="274" t="s">
        <v>4</v>
      </c>
      <c r="B10" s="274" t="s">
        <v>23</v>
      </c>
      <c r="C10" s="275" t="s">
        <v>24</v>
      </c>
      <c r="D10" s="274" t="s">
        <v>25</v>
      </c>
      <c r="E10" s="274" t="s">
        <v>411</v>
      </c>
      <c r="F10" s="278" t="s">
        <v>26</v>
      </c>
      <c r="G10" s="278"/>
      <c r="H10" s="278"/>
      <c r="I10" s="278"/>
      <c r="J10" s="278"/>
      <c r="K10" s="278"/>
      <c r="L10" s="278" t="s">
        <v>27</v>
      </c>
      <c r="M10" s="278"/>
      <c r="N10" s="278"/>
      <c r="O10" s="278"/>
      <c r="P10" s="278"/>
    </row>
    <row r="11" spans="1:16" ht="99.95" customHeight="1">
      <c r="A11" s="274"/>
      <c r="B11" s="274"/>
      <c r="C11" s="275"/>
      <c r="D11" s="274"/>
      <c r="E11" s="274"/>
      <c r="F11" s="241" t="s">
        <v>28</v>
      </c>
      <c r="G11" s="241" t="s">
        <v>388</v>
      </c>
      <c r="H11" s="241" t="s">
        <v>389</v>
      </c>
      <c r="I11" s="241" t="s">
        <v>390</v>
      </c>
      <c r="J11" s="241" t="s">
        <v>391</v>
      </c>
      <c r="K11" s="241" t="s">
        <v>392</v>
      </c>
      <c r="L11" s="241" t="s">
        <v>29</v>
      </c>
      <c r="M11" s="241" t="s">
        <v>389</v>
      </c>
      <c r="N11" s="241" t="s">
        <v>390</v>
      </c>
      <c r="O11" s="241" t="s">
        <v>391</v>
      </c>
      <c r="P11" s="241" t="s">
        <v>393</v>
      </c>
    </row>
    <row r="12" spans="1:16" s="63" customFormat="1" ht="50.1" customHeight="1">
      <c r="A12" s="40"/>
      <c r="B12" s="40"/>
      <c r="C12" s="236" t="s">
        <v>355</v>
      </c>
      <c r="D12" s="43"/>
      <c r="E12" s="44"/>
      <c r="F12" s="45"/>
      <c r="G12" s="197"/>
      <c r="H12" s="46"/>
      <c r="I12" s="46"/>
      <c r="J12" s="46"/>
      <c r="K12" s="46"/>
      <c r="L12" s="46"/>
      <c r="M12" s="46"/>
      <c r="N12" s="46"/>
      <c r="O12" s="46"/>
      <c r="P12" s="46"/>
    </row>
    <row r="13" spans="1:16" s="63" customFormat="1" ht="50.1" customHeight="1">
      <c r="A13" s="40">
        <v>1</v>
      </c>
      <c r="B13" s="40" t="s">
        <v>356</v>
      </c>
      <c r="C13" s="163" t="s">
        <v>496</v>
      </c>
      <c r="D13" s="43" t="s">
        <v>348</v>
      </c>
      <c r="E13" s="44">
        <v>10</v>
      </c>
      <c r="F13" s="45"/>
      <c r="G13" s="197"/>
      <c r="H13" s="46"/>
      <c r="I13" s="46"/>
      <c r="J13" s="46"/>
      <c r="K13" s="46"/>
      <c r="L13" s="46"/>
      <c r="M13" s="46"/>
      <c r="N13" s="46"/>
      <c r="O13" s="46"/>
      <c r="P13" s="46"/>
    </row>
    <row r="14" spans="1:16" s="63" customFormat="1" ht="50.1" customHeight="1">
      <c r="A14" s="40"/>
      <c r="B14" s="40"/>
      <c r="C14" s="245" t="s">
        <v>357</v>
      </c>
      <c r="D14" s="43"/>
      <c r="E14" s="44"/>
      <c r="F14" s="45"/>
      <c r="G14" s="197"/>
      <c r="H14" s="46"/>
      <c r="I14" s="46"/>
      <c r="J14" s="46"/>
      <c r="K14" s="46"/>
      <c r="L14" s="46"/>
      <c r="M14" s="46"/>
      <c r="N14" s="46"/>
      <c r="O14" s="46"/>
      <c r="P14" s="46"/>
    </row>
    <row r="15" spans="1:16" s="63" customFormat="1" ht="50.1" customHeight="1">
      <c r="A15" s="40">
        <v>1</v>
      </c>
      <c r="B15" s="40" t="s">
        <v>499</v>
      </c>
      <c r="C15" s="163" t="s">
        <v>495</v>
      </c>
      <c r="D15" s="43" t="s">
        <v>49</v>
      </c>
      <c r="E15" s="44">
        <v>1</v>
      </c>
      <c r="F15" s="45"/>
      <c r="G15" s="197"/>
      <c r="H15" s="46"/>
      <c r="I15" s="46"/>
      <c r="J15" s="46"/>
      <c r="K15" s="46"/>
      <c r="L15" s="46"/>
      <c r="M15" s="46"/>
      <c r="N15" s="46"/>
      <c r="O15" s="46"/>
      <c r="P15" s="46"/>
    </row>
    <row r="16" spans="1:16" s="63" customFormat="1" ht="49.5" customHeight="1">
      <c r="A16" s="40"/>
      <c r="B16" s="40"/>
      <c r="C16" s="245" t="s">
        <v>358</v>
      </c>
      <c r="D16" s="43"/>
      <c r="E16" s="44"/>
      <c r="F16" s="45"/>
      <c r="G16" s="197"/>
      <c r="H16" s="46"/>
      <c r="I16" s="46"/>
      <c r="J16" s="46"/>
      <c r="K16" s="46"/>
      <c r="L16" s="46"/>
      <c r="M16" s="46"/>
      <c r="N16" s="46"/>
      <c r="O16" s="46"/>
      <c r="P16" s="46"/>
    </row>
    <row r="17" spans="1:17" s="63" customFormat="1" ht="89.25" customHeight="1">
      <c r="A17" s="40">
        <v>1</v>
      </c>
      <c r="B17" s="40" t="s">
        <v>354</v>
      </c>
      <c r="C17" s="163" t="s">
        <v>494</v>
      </c>
      <c r="D17" s="43" t="s">
        <v>36</v>
      </c>
      <c r="E17" s="44">
        <v>2</v>
      </c>
      <c r="F17" s="45"/>
      <c r="G17" s="197"/>
      <c r="H17" s="46"/>
      <c r="I17" s="46"/>
      <c r="J17" s="46"/>
      <c r="K17" s="46"/>
      <c r="L17" s="46"/>
      <c r="M17" s="46"/>
      <c r="N17" s="46"/>
      <c r="O17" s="46"/>
      <c r="P17" s="46"/>
    </row>
    <row r="18" spans="1:17" s="63" customFormat="1" ht="50.1" customHeight="1">
      <c r="A18" s="152"/>
      <c r="B18" s="152"/>
      <c r="C18" s="244" t="s">
        <v>6</v>
      </c>
      <c r="D18" s="244"/>
      <c r="E18" s="244"/>
      <c r="F18" s="244"/>
      <c r="G18" s="244"/>
      <c r="H18" s="244"/>
      <c r="I18" s="244"/>
      <c r="J18" s="244"/>
      <c r="K18" s="244"/>
      <c r="L18" s="54"/>
      <c r="M18" s="54"/>
      <c r="N18" s="54"/>
      <c r="O18" s="54"/>
      <c r="P18" s="54"/>
      <c r="Q18" s="164"/>
    </row>
    <row r="19" spans="1:17" s="63" customFormat="1" ht="50.1" customHeight="1">
      <c r="A19" s="153"/>
      <c r="B19" s="153"/>
      <c r="C19" s="284" t="s">
        <v>54</v>
      </c>
      <c r="D19" s="284"/>
      <c r="E19" s="284"/>
      <c r="F19" s="284"/>
      <c r="G19" s="284"/>
      <c r="H19" s="284"/>
      <c r="I19" s="284"/>
      <c r="J19" s="284"/>
      <c r="K19" s="284"/>
      <c r="L19" s="216"/>
      <c r="M19" s="217"/>
      <c r="N19" s="57"/>
      <c r="O19" s="57"/>
      <c r="P19" s="58"/>
    </row>
    <row r="20" spans="1:17" s="63" customFormat="1" ht="50.1" customHeight="1">
      <c r="A20" s="153"/>
      <c r="B20" s="153"/>
      <c r="C20" s="285" t="s">
        <v>55</v>
      </c>
      <c r="D20" s="285"/>
      <c r="E20" s="285"/>
      <c r="F20" s="285"/>
      <c r="G20" s="285"/>
      <c r="H20" s="285"/>
      <c r="I20" s="285"/>
      <c r="J20" s="285"/>
      <c r="K20" s="285"/>
      <c r="L20" s="59"/>
      <c r="M20" s="59"/>
      <c r="N20" s="59"/>
      <c r="O20" s="59"/>
      <c r="P20" s="59"/>
      <c r="Q20" s="166"/>
    </row>
    <row r="21" spans="1:17">
      <c r="A21" s="70"/>
      <c r="B21" s="167"/>
      <c r="C21" s="70"/>
      <c r="D21" s="71"/>
      <c r="E21" s="72"/>
      <c r="F21" s="72"/>
      <c r="G21" s="72"/>
      <c r="H21" s="29"/>
      <c r="I21" s="29"/>
      <c r="J21" s="72"/>
      <c r="K21" s="72"/>
      <c r="L21" s="72"/>
      <c r="M21" s="72"/>
      <c r="N21" s="72"/>
      <c r="O21" s="72"/>
      <c r="P21" s="72"/>
    </row>
    <row r="22" spans="1:17" ht="15">
      <c r="A22" s="70"/>
      <c r="B22" s="249" t="s">
        <v>503</v>
      </c>
      <c r="C22" s="70"/>
      <c r="D22" s="71"/>
      <c r="E22" s="72"/>
      <c r="F22" s="72"/>
      <c r="G22" s="72"/>
      <c r="H22" s="29"/>
      <c r="I22" s="29"/>
      <c r="J22" s="72"/>
      <c r="K22" s="72"/>
      <c r="L22" s="72"/>
      <c r="M22" s="72"/>
      <c r="N22" s="72"/>
      <c r="O22" s="72"/>
      <c r="P22" s="72"/>
    </row>
    <row r="23" spans="1:17" ht="15">
      <c r="A23" s="70"/>
      <c r="B23" s="249"/>
      <c r="C23" s="70"/>
      <c r="D23" s="71"/>
      <c r="E23" s="72"/>
      <c r="F23" s="72"/>
      <c r="G23" s="72"/>
      <c r="H23" s="29"/>
      <c r="I23" s="29"/>
      <c r="J23" s="72"/>
      <c r="K23" s="72"/>
      <c r="L23" s="72"/>
      <c r="M23" s="72"/>
      <c r="N23" s="72"/>
      <c r="O23" s="72"/>
      <c r="P23" s="72"/>
    </row>
    <row r="24" spans="1:17">
      <c r="A24" s="70"/>
      <c r="B24" s="167"/>
      <c r="C24" s="70"/>
      <c r="D24" s="71"/>
      <c r="E24" s="72"/>
      <c r="F24" s="72"/>
      <c r="G24" s="72"/>
      <c r="H24" s="29"/>
      <c r="I24" s="29"/>
      <c r="J24" s="72"/>
      <c r="K24" s="72"/>
      <c r="L24" s="72"/>
      <c r="M24" s="72"/>
      <c r="N24" s="72"/>
      <c r="O24" s="72"/>
      <c r="P24" s="72"/>
    </row>
    <row r="25" spans="1:17" s="63" customFormat="1" ht="15" customHeight="1">
      <c r="A25" s="267" t="s">
        <v>9</v>
      </c>
      <c r="B25" s="267"/>
      <c r="C25" s="65"/>
      <c r="E25" s="66"/>
      <c r="F25" s="67"/>
      <c r="G25" s="67"/>
      <c r="H25" s="68"/>
      <c r="I25" s="268" t="s">
        <v>56</v>
      </c>
      <c r="J25" s="268"/>
      <c r="K25" s="67"/>
      <c r="L25" s="67"/>
      <c r="M25" s="67"/>
      <c r="N25" s="66"/>
      <c r="O25" s="67"/>
      <c r="P25" s="67"/>
    </row>
    <row r="26" spans="1:17" s="63" customFormat="1" ht="15">
      <c r="A26" s="238"/>
      <c r="B26" s="238"/>
      <c r="C26" s="276" t="s">
        <v>10</v>
      </c>
      <c r="D26" s="276"/>
      <c r="E26" s="276"/>
      <c r="F26" s="276"/>
      <c r="G26" s="276"/>
      <c r="I26" s="239"/>
      <c r="J26" s="239"/>
      <c r="K26" s="277" t="s">
        <v>10</v>
      </c>
      <c r="L26" s="277"/>
      <c r="M26" s="277"/>
      <c r="N26" s="277"/>
      <c r="O26" s="277"/>
      <c r="P26" s="277"/>
    </row>
    <row r="27" spans="1:17" s="63" customFormat="1" ht="15">
      <c r="A27" s="238"/>
      <c r="B27" s="238"/>
      <c r="C27" s="238"/>
      <c r="D27" s="61"/>
      <c r="E27" s="62"/>
      <c r="F27" s="62"/>
      <c r="G27" s="62"/>
      <c r="J27" s="62"/>
      <c r="K27" s="62"/>
      <c r="L27" s="62"/>
      <c r="M27" s="62"/>
      <c r="N27" s="62"/>
      <c r="O27" s="62"/>
      <c r="P27" s="62"/>
    </row>
    <row r="28" spans="1:17" s="63" customFormat="1" ht="15">
      <c r="D28" s="69"/>
      <c r="E28" s="62"/>
      <c r="F28" s="62"/>
      <c r="G28" s="62"/>
      <c r="I28" s="267" t="s">
        <v>11</v>
      </c>
      <c r="J28" s="267"/>
      <c r="K28" s="65"/>
      <c r="L28" s="62"/>
      <c r="M28" s="62"/>
      <c r="N28" s="62"/>
      <c r="O28" s="62"/>
      <c r="P28" s="62"/>
    </row>
    <row r="29" spans="1:17">
      <c r="A29" s="70"/>
      <c r="B29" s="167"/>
      <c r="C29" s="70"/>
      <c r="D29" s="71"/>
      <c r="E29" s="72"/>
      <c r="F29" s="72"/>
      <c r="G29" s="72"/>
      <c r="H29" s="29"/>
      <c r="I29" s="29"/>
      <c r="J29" s="72"/>
      <c r="K29" s="72"/>
      <c r="L29" s="72"/>
      <c r="M29" s="72"/>
      <c r="N29" s="72"/>
      <c r="O29" s="72"/>
      <c r="P29" s="72"/>
    </row>
    <row r="30" spans="1:17">
      <c r="A30" s="70"/>
      <c r="B30" s="167"/>
      <c r="C30" s="70"/>
      <c r="D30" s="71"/>
      <c r="E30" s="72"/>
      <c r="F30" s="72"/>
      <c r="G30" s="72"/>
      <c r="H30" s="29"/>
      <c r="I30" s="29"/>
      <c r="J30" s="72"/>
      <c r="K30" s="72"/>
      <c r="L30" s="72"/>
      <c r="M30" s="72"/>
      <c r="N30" s="72"/>
      <c r="O30" s="72"/>
      <c r="P30" s="72"/>
    </row>
    <row r="31" spans="1:17">
      <c r="A31" s="70"/>
      <c r="B31" s="167"/>
      <c r="C31" s="70"/>
      <c r="D31" s="71"/>
      <c r="E31" s="72"/>
      <c r="F31" s="72"/>
      <c r="G31" s="72"/>
      <c r="H31" s="29"/>
      <c r="I31" s="29"/>
      <c r="J31" s="72"/>
      <c r="K31" s="72"/>
      <c r="L31" s="72"/>
      <c r="M31" s="72"/>
      <c r="N31" s="72"/>
      <c r="O31" s="72"/>
      <c r="P31" s="72"/>
    </row>
    <row r="32" spans="1:17">
      <c r="A32" s="70"/>
      <c r="B32" s="167"/>
      <c r="C32" s="70"/>
      <c r="D32" s="71"/>
      <c r="E32" s="72"/>
      <c r="F32" s="72"/>
      <c r="G32" s="72"/>
      <c r="H32" s="29"/>
      <c r="I32" s="29"/>
      <c r="J32" s="72"/>
      <c r="K32" s="72"/>
      <c r="L32" s="72"/>
      <c r="M32" s="72"/>
      <c r="N32" s="72"/>
      <c r="O32" s="72"/>
      <c r="P32" s="72"/>
    </row>
    <row r="33" spans="1:16">
      <c r="A33" s="70"/>
      <c r="B33" s="167"/>
      <c r="C33" s="70"/>
      <c r="D33" s="71"/>
      <c r="E33" s="72"/>
      <c r="F33" s="72"/>
      <c r="G33" s="72"/>
      <c r="H33" s="29"/>
      <c r="I33" s="29"/>
      <c r="J33" s="72"/>
      <c r="K33" s="72"/>
      <c r="L33" s="72"/>
      <c r="M33" s="72"/>
      <c r="N33" s="72"/>
      <c r="O33" s="72"/>
      <c r="P33" s="72"/>
    </row>
    <row r="34" spans="1:16">
      <c r="A34" s="70"/>
      <c r="B34" s="167"/>
      <c r="C34" s="70"/>
      <c r="D34" s="71"/>
      <c r="E34" s="72"/>
      <c r="F34" s="72"/>
      <c r="G34" s="72"/>
      <c r="H34" s="29"/>
      <c r="I34" s="29"/>
      <c r="J34" s="72"/>
      <c r="K34" s="72"/>
      <c r="L34" s="72"/>
      <c r="M34" s="72"/>
      <c r="N34" s="72"/>
      <c r="O34" s="72"/>
      <c r="P34" s="72"/>
    </row>
    <row r="35" spans="1:16">
      <c r="A35" s="70"/>
      <c r="B35" s="167"/>
      <c r="C35" s="70"/>
      <c r="D35" s="71"/>
      <c r="E35" s="72"/>
      <c r="F35" s="72"/>
      <c r="G35" s="72"/>
      <c r="H35" s="29"/>
      <c r="I35" s="29"/>
      <c r="J35" s="72"/>
      <c r="K35" s="72"/>
      <c r="L35" s="72"/>
      <c r="M35" s="72"/>
      <c r="N35" s="72"/>
      <c r="O35" s="72"/>
      <c r="P35" s="72"/>
    </row>
    <row r="36" spans="1:16">
      <c r="A36" s="70"/>
      <c r="B36" s="167"/>
      <c r="C36" s="70"/>
      <c r="D36" s="71"/>
      <c r="E36" s="72"/>
      <c r="F36" s="72"/>
      <c r="G36" s="72"/>
      <c r="H36" s="29"/>
      <c r="I36" s="29"/>
      <c r="J36" s="72"/>
      <c r="K36" s="72"/>
      <c r="L36" s="72"/>
      <c r="M36" s="72"/>
      <c r="N36" s="72"/>
      <c r="O36" s="72"/>
      <c r="P36" s="72"/>
    </row>
    <row r="37" spans="1:16">
      <c r="A37" s="70"/>
      <c r="B37" s="167"/>
      <c r="C37" s="70"/>
      <c r="D37" s="71"/>
      <c r="E37" s="72"/>
      <c r="F37" s="72"/>
      <c r="G37" s="72"/>
      <c r="H37" s="29"/>
      <c r="I37" s="29"/>
      <c r="J37" s="72"/>
      <c r="K37" s="72"/>
      <c r="L37" s="72"/>
      <c r="M37" s="72"/>
      <c r="N37" s="72"/>
      <c r="O37" s="72"/>
      <c r="P37" s="72"/>
    </row>
    <row r="38" spans="1:16">
      <c r="A38" s="70"/>
      <c r="B38" s="167"/>
      <c r="C38" s="70"/>
      <c r="D38" s="71"/>
      <c r="E38" s="72"/>
      <c r="F38" s="72"/>
      <c r="G38" s="72"/>
      <c r="H38" s="29"/>
      <c r="I38" s="29"/>
      <c r="J38" s="72"/>
      <c r="K38" s="72"/>
      <c r="L38" s="72"/>
      <c r="M38" s="72"/>
      <c r="N38" s="72"/>
      <c r="O38" s="72"/>
      <c r="P38" s="72"/>
    </row>
    <row r="39" spans="1:16">
      <c r="A39" s="70"/>
      <c r="B39" s="167"/>
      <c r="C39" s="70"/>
      <c r="D39" s="71"/>
      <c r="E39" s="72"/>
      <c r="F39" s="72"/>
      <c r="G39" s="72"/>
      <c r="H39" s="29"/>
      <c r="I39" s="29"/>
      <c r="J39" s="72"/>
      <c r="K39" s="72"/>
      <c r="L39" s="72"/>
      <c r="M39" s="72"/>
      <c r="N39" s="72"/>
      <c r="O39" s="72"/>
      <c r="P39" s="72"/>
    </row>
    <row r="40" spans="1:16">
      <c r="A40" s="70"/>
      <c r="B40" s="167"/>
      <c r="C40" s="70"/>
      <c r="D40" s="71"/>
      <c r="E40" s="72"/>
      <c r="F40" s="72"/>
      <c r="G40" s="72"/>
      <c r="H40" s="29"/>
      <c r="I40" s="29"/>
      <c r="J40" s="72"/>
      <c r="K40" s="72"/>
      <c r="L40" s="72"/>
      <c r="M40" s="72"/>
      <c r="N40" s="72"/>
      <c r="O40" s="72"/>
      <c r="P40" s="72"/>
    </row>
    <row r="41" spans="1:16">
      <c r="A41" s="70"/>
      <c r="B41" s="167"/>
      <c r="C41" s="70"/>
      <c r="D41" s="71"/>
      <c r="E41" s="72"/>
      <c r="F41" s="72"/>
      <c r="G41" s="72"/>
      <c r="H41" s="29"/>
      <c r="I41" s="29"/>
      <c r="J41" s="72"/>
      <c r="K41" s="72"/>
      <c r="L41" s="72"/>
      <c r="M41" s="72"/>
      <c r="N41" s="72"/>
      <c r="O41" s="72"/>
      <c r="P41" s="72"/>
    </row>
    <row r="42" spans="1:16">
      <c r="A42" s="70"/>
      <c r="B42" s="167"/>
      <c r="C42" s="70"/>
      <c r="D42" s="71"/>
      <c r="E42" s="72"/>
      <c r="F42" s="72"/>
      <c r="G42" s="72"/>
      <c r="H42" s="29"/>
      <c r="I42" s="29"/>
      <c r="J42" s="72"/>
      <c r="K42" s="72"/>
      <c r="L42" s="72"/>
      <c r="M42" s="72"/>
      <c r="N42" s="72"/>
      <c r="O42" s="72"/>
      <c r="P42" s="72"/>
    </row>
    <row r="43" spans="1:16">
      <c r="A43" s="70"/>
      <c r="B43" s="167"/>
      <c r="C43" s="70"/>
      <c r="D43" s="71"/>
      <c r="E43" s="72"/>
      <c r="F43" s="72"/>
      <c r="G43" s="72"/>
      <c r="H43" s="29"/>
      <c r="I43" s="29"/>
      <c r="J43" s="72"/>
      <c r="K43" s="72"/>
      <c r="L43" s="72"/>
      <c r="M43" s="72"/>
      <c r="N43" s="72"/>
      <c r="O43" s="72"/>
      <c r="P43" s="72"/>
    </row>
    <row r="44" spans="1:16">
      <c r="A44" s="70"/>
      <c r="B44" s="167"/>
      <c r="C44" s="70"/>
      <c r="D44" s="71"/>
      <c r="E44" s="72"/>
      <c r="F44" s="72"/>
      <c r="G44" s="72"/>
      <c r="H44" s="29"/>
      <c r="I44" s="29"/>
      <c r="J44" s="72"/>
      <c r="K44" s="72"/>
      <c r="L44" s="72"/>
      <c r="M44" s="72"/>
      <c r="N44" s="72"/>
      <c r="O44" s="72"/>
      <c r="P44" s="72"/>
    </row>
    <row r="45" spans="1:16">
      <c r="A45" s="70"/>
      <c r="B45" s="167"/>
      <c r="C45" s="70"/>
      <c r="D45" s="71"/>
      <c r="E45" s="72"/>
      <c r="F45" s="72"/>
      <c r="G45" s="72"/>
      <c r="H45" s="29"/>
      <c r="I45" s="29"/>
      <c r="J45" s="72"/>
      <c r="K45" s="72"/>
      <c r="L45" s="72"/>
      <c r="M45" s="72"/>
      <c r="N45" s="72"/>
      <c r="O45" s="72"/>
      <c r="P45" s="72"/>
    </row>
    <row r="46" spans="1:16">
      <c r="A46" s="70"/>
      <c r="B46" s="167"/>
      <c r="C46" s="70"/>
      <c r="D46" s="71"/>
      <c r="E46" s="72"/>
      <c r="F46" s="72"/>
      <c r="G46" s="72"/>
      <c r="H46" s="29"/>
      <c r="I46" s="29"/>
      <c r="J46" s="72"/>
      <c r="K46" s="72"/>
      <c r="L46" s="72"/>
      <c r="M46" s="72"/>
      <c r="N46" s="72"/>
      <c r="O46" s="72"/>
      <c r="P46" s="72"/>
    </row>
    <row r="47" spans="1:16">
      <c r="A47" s="70"/>
      <c r="B47" s="167"/>
      <c r="C47" s="70"/>
      <c r="D47" s="71"/>
      <c r="E47" s="72"/>
      <c r="F47" s="72"/>
      <c r="G47" s="72"/>
      <c r="H47" s="29"/>
      <c r="I47" s="29"/>
      <c r="J47" s="72"/>
      <c r="K47" s="72"/>
      <c r="L47" s="72"/>
      <c r="M47" s="72"/>
      <c r="N47" s="72"/>
      <c r="O47" s="72"/>
      <c r="P47" s="72"/>
    </row>
    <row r="48" spans="1:16">
      <c r="A48" s="70"/>
      <c r="B48" s="167"/>
      <c r="C48" s="70"/>
      <c r="D48" s="71"/>
      <c r="E48" s="72"/>
      <c r="F48" s="72"/>
      <c r="G48" s="72"/>
      <c r="H48" s="29"/>
      <c r="I48" s="29"/>
      <c r="J48" s="72"/>
      <c r="K48" s="72"/>
      <c r="L48" s="72"/>
      <c r="M48" s="72"/>
      <c r="N48" s="72"/>
      <c r="O48" s="72"/>
      <c r="P48" s="72"/>
    </row>
    <row r="49" spans="1:16">
      <c r="A49" s="70"/>
      <c r="B49" s="167"/>
      <c r="C49" s="70"/>
      <c r="D49" s="71"/>
      <c r="E49" s="72"/>
      <c r="F49" s="72"/>
      <c r="G49" s="72"/>
      <c r="H49" s="29"/>
      <c r="I49" s="29"/>
      <c r="J49" s="72"/>
      <c r="K49" s="72"/>
      <c r="L49" s="72"/>
      <c r="M49" s="72"/>
      <c r="N49" s="72"/>
      <c r="O49" s="72"/>
      <c r="P49" s="72"/>
    </row>
    <row r="50" spans="1:16">
      <c r="A50" s="70"/>
      <c r="B50" s="167"/>
      <c r="C50" s="70"/>
      <c r="D50" s="71"/>
      <c r="E50" s="72"/>
      <c r="F50" s="72"/>
      <c r="G50" s="72"/>
      <c r="H50" s="29"/>
      <c r="I50" s="29"/>
      <c r="J50" s="72"/>
      <c r="K50" s="72"/>
      <c r="L50" s="72"/>
      <c r="M50" s="72"/>
      <c r="N50" s="72"/>
      <c r="O50" s="72"/>
      <c r="P50" s="72"/>
    </row>
    <row r="51" spans="1:16">
      <c r="A51" s="70"/>
      <c r="B51" s="167"/>
      <c r="C51" s="70"/>
      <c r="D51" s="71"/>
      <c r="E51" s="72"/>
      <c r="F51" s="72"/>
      <c r="G51" s="72"/>
      <c r="H51" s="29"/>
      <c r="I51" s="29"/>
      <c r="J51" s="72"/>
      <c r="K51" s="72"/>
      <c r="L51" s="72"/>
      <c r="M51" s="72"/>
      <c r="N51" s="72"/>
      <c r="O51" s="72"/>
      <c r="P51" s="72"/>
    </row>
    <row r="52" spans="1:16">
      <c r="A52" s="70"/>
      <c r="B52" s="167"/>
      <c r="C52" s="70"/>
      <c r="D52" s="71"/>
      <c r="E52" s="72"/>
      <c r="F52" s="72"/>
      <c r="G52" s="72"/>
      <c r="H52" s="29"/>
      <c r="I52" s="29"/>
      <c r="J52" s="72"/>
      <c r="K52" s="72"/>
      <c r="L52" s="72"/>
      <c r="M52" s="72"/>
      <c r="N52" s="72"/>
      <c r="O52" s="72"/>
      <c r="P52" s="72"/>
    </row>
    <row r="53" spans="1:16">
      <c r="A53" s="70"/>
      <c r="B53" s="167"/>
      <c r="C53" s="70"/>
      <c r="D53" s="71"/>
      <c r="E53" s="72"/>
      <c r="F53" s="72"/>
      <c r="G53" s="72"/>
      <c r="H53" s="29"/>
      <c r="I53" s="29"/>
      <c r="J53" s="72"/>
      <c r="K53" s="72"/>
      <c r="L53" s="72"/>
      <c r="M53" s="72"/>
      <c r="N53" s="72"/>
      <c r="O53" s="72"/>
      <c r="P53" s="72"/>
    </row>
    <row r="54" spans="1:16">
      <c r="A54" s="70"/>
      <c r="B54" s="167"/>
      <c r="C54" s="70"/>
      <c r="D54" s="71"/>
      <c r="E54" s="72"/>
      <c r="F54" s="72"/>
      <c r="G54" s="72"/>
      <c r="H54" s="29"/>
      <c r="I54" s="29"/>
      <c r="J54" s="72"/>
      <c r="K54" s="72"/>
      <c r="L54" s="72"/>
      <c r="M54" s="72"/>
      <c r="N54" s="72"/>
      <c r="O54" s="72"/>
      <c r="P54" s="72"/>
    </row>
    <row r="55" spans="1:16">
      <c r="A55" s="70"/>
      <c r="B55" s="167"/>
      <c r="C55" s="70"/>
      <c r="D55" s="71"/>
      <c r="E55" s="72"/>
      <c r="F55" s="72"/>
      <c r="G55" s="72"/>
      <c r="H55" s="29"/>
      <c r="I55" s="29"/>
      <c r="J55" s="72"/>
      <c r="K55" s="72"/>
      <c r="L55" s="72"/>
      <c r="M55" s="72"/>
      <c r="N55" s="72"/>
      <c r="O55" s="72"/>
      <c r="P55" s="72"/>
    </row>
    <row r="56" spans="1:16">
      <c r="A56" s="70"/>
      <c r="B56" s="167"/>
      <c r="C56" s="70"/>
      <c r="D56" s="71"/>
      <c r="E56" s="72"/>
      <c r="F56" s="72"/>
      <c r="G56" s="72"/>
      <c r="H56" s="29"/>
      <c r="I56" s="29"/>
      <c r="J56" s="72"/>
      <c r="K56" s="72"/>
      <c r="L56" s="72"/>
      <c r="M56" s="72"/>
      <c r="N56" s="72"/>
      <c r="O56" s="72"/>
      <c r="P56" s="72"/>
    </row>
    <row r="57" spans="1:16">
      <c r="A57" s="70"/>
      <c r="B57" s="167"/>
      <c r="C57" s="70"/>
      <c r="D57" s="71"/>
      <c r="E57" s="72"/>
      <c r="F57" s="72"/>
      <c r="G57" s="72"/>
      <c r="H57" s="29"/>
      <c r="I57" s="29"/>
      <c r="J57" s="72"/>
      <c r="K57" s="72"/>
      <c r="L57" s="72"/>
      <c r="M57" s="72"/>
      <c r="N57" s="72"/>
      <c r="O57" s="72"/>
      <c r="P57" s="72"/>
    </row>
    <row r="58" spans="1:16">
      <c r="A58" s="70"/>
      <c r="B58" s="167"/>
      <c r="C58" s="70"/>
      <c r="D58" s="71"/>
      <c r="E58" s="72"/>
      <c r="F58" s="72"/>
      <c r="G58" s="72"/>
      <c r="H58" s="29"/>
      <c r="I58" s="29"/>
      <c r="J58" s="72"/>
      <c r="K58" s="72"/>
      <c r="L58" s="72"/>
      <c r="M58" s="72"/>
      <c r="N58" s="72"/>
      <c r="O58" s="72"/>
      <c r="P58" s="72"/>
    </row>
    <row r="59" spans="1:16">
      <c r="A59" s="70"/>
      <c r="B59" s="167"/>
      <c r="C59" s="70"/>
      <c r="D59" s="71"/>
      <c r="E59" s="72"/>
      <c r="F59" s="72"/>
      <c r="G59" s="72"/>
      <c r="H59" s="29"/>
      <c r="I59" s="29"/>
      <c r="J59" s="72"/>
      <c r="K59" s="72"/>
      <c r="L59" s="72"/>
      <c r="M59" s="72"/>
      <c r="N59" s="72"/>
      <c r="O59" s="72"/>
      <c r="P59" s="72"/>
    </row>
    <row r="60" spans="1:16">
      <c r="A60" s="70"/>
      <c r="B60" s="167"/>
      <c r="C60" s="70"/>
      <c r="D60" s="71"/>
      <c r="E60" s="72"/>
      <c r="F60" s="72"/>
      <c r="G60" s="72"/>
      <c r="H60" s="29"/>
      <c r="I60" s="29"/>
      <c r="J60" s="72"/>
      <c r="K60" s="72"/>
      <c r="L60" s="72"/>
      <c r="M60" s="72"/>
      <c r="N60" s="72"/>
      <c r="O60" s="72"/>
      <c r="P60" s="72"/>
    </row>
    <row r="61" spans="1:16">
      <c r="A61" s="70"/>
      <c r="B61" s="167"/>
      <c r="C61" s="70"/>
      <c r="D61" s="71"/>
      <c r="E61" s="72"/>
      <c r="F61" s="72"/>
      <c r="G61" s="72"/>
      <c r="H61" s="29"/>
      <c r="I61" s="29"/>
      <c r="J61" s="72"/>
      <c r="K61" s="72"/>
      <c r="L61" s="72"/>
      <c r="M61" s="72"/>
      <c r="N61" s="72"/>
      <c r="O61" s="72"/>
      <c r="P61" s="72"/>
    </row>
    <row r="62" spans="1:16">
      <c r="A62" s="70"/>
      <c r="B62" s="167"/>
      <c r="C62" s="70"/>
      <c r="D62" s="71"/>
      <c r="E62" s="72"/>
      <c r="F62" s="72"/>
      <c r="G62" s="72"/>
      <c r="H62" s="29"/>
      <c r="I62" s="29"/>
      <c r="J62" s="72"/>
      <c r="K62" s="72"/>
      <c r="L62" s="72"/>
      <c r="M62" s="72"/>
      <c r="N62" s="72"/>
      <c r="O62" s="72"/>
      <c r="P62" s="72"/>
    </row>
    <row r="63" spans="1:16">
      <c r="A63" s="70"/>
      <c r="B63" s="167"/>
      <c r="C63" s="70"/>
      <c r="D63" s="71"/>
      <c r="E63" s="72"/>
      <c r="F63" s="72"/>
      <c r="G63" s="72"/>
      <c r="H63" s="29"/>
      <c r="I63" s="29"/>
      <c r="J63" s="72"/>
      <c r="K63" s="72"/>
      <c r="L63" s="72"/>
      <c r="M63" s="72"/>
      <c r="N63" s="72"/>
      <c r="O63" s="72"/>
      <c r="P63" s="72"/>
    </row>
    <row r="64" spans="1:16">
      <c r="A64" s="70"/>
      <c r="B64" s="167"/>
      <c r="C64" s="70"/>
      <c r="D64" s="71"/>
      <c r="E64" s="72"/>
      <c r="F64" s="72"/>
      <c r="G64" s="72"/>
      <c r="H64" s="29"/>
      <c r="I64" s="29"/>
      <c r="J64" s="72"/>
      <c r="K64" s="72"/>
      <c r="L64" s="72"/>
      <c r="M64" s="72"/>
      <c r="N64" s="72"/>
      <c r="O64" s="72"/>
      <c r="P64" s="72"/>
    </row>
    <row r="65" spans="1:16">
      <c r="A65" s="70"/>
      <c r="B65" s="167"/>
      <c r="C65" s="70"/>
      <c r="D65" s="71"/>
      <c r="E65" s="72"/>
      <c r="F65" s="72"/>
      <c r="G65" s="72"/>
      <c r="H65" s="29"/>
      <c r="I65" s="29"/>
      <c r="J65" s="72"/>
      <c r="K65" s="72"/>
      <c r="L65" s="72"/>
      <c r="M65" s="72"/>
      <c r="N65" s="72"/>
      <c r="O65" s="72"/>
      <c r="P65" s="72"/>
    </row>
    <row r="66" spans="1:16">
      <c r="A66" s="70"/>
      <c r="B66" s="167"/>
      <c r="C66" s="70"/>
      <c r="D66" s="71"/>
      <c r="E66" s="72"/>
      <c r="F66" s="72"/>
      <c r="G66" s="72"/>
      <c r="H66" s="29"/>
      <c r="I66" s="29"/>
      <c r="J66" s="72"/>
      <c r="K66" s="72"/>
      <c r="L66" s="72"/>
      <c r="M66" s="72"/>
      <c r="N66" s="72"/>
      <c r="O66" s="72"/>
      <c r="P66" s="72"/>
    </row>
    <row r="67" spans="1:16">
      <c r="A67" s="70"/>
      <c r="B67" s="167"/>
      <c r="C67" s="70"/>
      <c r="D67" s="71"/>
      <c r="E67" s="72"/>
      <c r="F67" s="72"/>
      <c r="G67" s="72"/>
      <c r="H67" s="29"/>
      <c r="I67" s="29"/>
      <c r="J67" s="72"/>
      <c r="K67" s="72"/>
      <c r="L67" s="72"/>
      <c r="M67" s="72"/>
      <c r="N67" s="72"/>
      <c r="O67" s="72"/>
      <c r="P67" s="72"/>
    </row>
    <row r="68" spans="1:16">
      <c r="A68" s="70"/>
      <c r="B68" s="167"/>
      <c r="C68" s="70"/>
      <c r="D68" s="71"/>
      <c r="E68" s="72"/>
      <c r="F68" s="72"/>
      <c r="G68" s="72"/>
      <c r="H68" s="29"/>
      <c r="I68" s="29"/>
      <c r="J68" s="72"/>
      <c r="K68" s="72"/>
      <c r="L68" s="72"/>
      <c r="M68" s="72"/>
      <c r="N68" s="72"/>
      <c r="O68" s="72"/>
      <c r="P68" s="72"/>
    </row>
    <row r="69" spans="1:16">
      <c r="A69" s="70"/>
      <c r="B69" s="167"/>
      <c r="C69" s="70"/>
      <c r="D69" s="71"/>
      <c r="E69" s="72"/>
      <c r="F69" s="72"/>
      <c r="G69" s="72"/>
      <c r="H69" s="29"/>
      <c r="I69" s="29"/>
      <c r="J69" s="72"/>
      <c r="K69" s="72"/>
      <c r="L69" s="72"/>
      <c r="M69" s="72"/>
      <c r="N69" s="72"/>
      <c r="O69" s="72"/>
      <c r="P69" s="72"/>
    </row>
    <row r="70" spans="1:16">
      <c r="A70" s="70"/>
      <c r="B70" s="167"/>
      <c r="C70" s="70"/>
      <c r="D70" s="71"/>
      <c r="E70" s="72"/>
      <c r="F70" s="72"/>
      <c r="G70" s="72"/>
      <c r="H70" s="29"/>
      <c r="I70" s="29"/>
      <c r="J70" s="72"/>
      <c r="K70" s="72"/>
      <c r="L70" s="72"/>
      <c r="M70" s="72"/>
      <c r="N70" s="72"/>
      <c r="O70" s="72"/>
      <c r="P70" s="72"/>
    </row>
    <row r="71" spans="1:16">
      <c r="A71" s="70"/>
      <c r="B71" s="167"/>
      <c r="C71" s="70"/>
      <c r="D71" s="71"/>
      <c r="E71" s="72"/>
      <c r="F71" s="72"/>
      <c r="G71" s="72"/>
      <c r="H71" s="29"/>
      <c r="I71" s="29"/>
      <c r="J71" s="72"/>
      <c r="K71" s="72"/>
      <c r="L71" s="72"/>
      <c r="M71" s="72"/>
      <c r="N71" s="72"/>
      <c r="O71" s="72"/>
      <c r="P71" s="72"/>
    </row>
    <row r="72" spans="1:16">
      <c r="A72" s="70"/>
      <c r="B72" s="167"/>
      <c r="C72" s="70"/>
      <c r="D72" s="71"/>
      <c r="E72" s="72"/>
      <c r="F72" s="72"/>
      <c r="G72" s="72"/>
      <c r="H72" s="29"/>
      <c r="I72" s="29"/>
      <c r="J72" s="72"/>
      <c r="K72" s="72"/>
      <c r="L72" s="72"/>
      <c r="M72" s="72"/>
      <c r="N72" s="72"/>
      <c r="O72" s="72"/>
      <c r="P72" s="72"/>
    </row>
    <row r="73" spans="1:16">
      <c r="A73" s="70"/>
      <c r="B73" s="167"/>
      <c r="C73" s="70"/>
      <c r="D73" s="71"/>
      <c r="E73" s="72"/>
      <c r="F73" s="72"/>
      <c r="G73" s="72"/>
      <c r="H73" s="29"/>
      <c r="I73" s="29"/>
      <c r="J73" s="72"/>
      <c r="K73" s="72"/>
      <c r="L73" s="72"/>
      <c r="M73" s="72"/>
      <c r="N73" s="72"/>
      <c r="O73" s="72"/>
      <c r="P73" s="72"/>
    </row>
    <row r="74" spans="1:16">
      <c r="A74" s="70"/>
      <c r="B74" s="167"/>
      <c r="C74" s="70"/>
      <c r="D74" s="71"/>
      <c r="E74" s="72"/>
      <c r="F74" s="72"/>
      <c r="G74" s="72"/>
      <c r="H74" s="29"/>
      <c r="I74" s="29"/>
      <c r="J74" s="72"/>
      <c r="K74" s="72"/>
      <c r="L74" s="72"/>
      <c r="M74" s="72"/>
      <c r="N74" s="72"/>
      <c r="O74" s="72"/>
      <c r="P74" s="72"/>
    </row>
    <row r="75" spans="1:16">
      <c r="A75" s="70"/>
      <c r="B75" s="167"/>
      <c r="C75" s="70"/>
      <c r="D75" s="71"/>
      <c r="E75" s="72"/>
      <c r="F75" s="72"/>
      <c r="G75" s="72"/>
      <c r="H75" s="29"/>
      <c r="I75" s="29"/>
      <c r="J75" s="72"/>
      <c r="K75" s="72"/>
      <c r="L75" s="72"/>
      <c r="M75" s="72"/>
      <c r="N75" s="72"/>
      <c r="O75" s="72"/>
      <c r="P75" s="72"/>
    </row>
    <row r="76" spans="1:16">
      <c r="A76" s="70"/>
      <c r="B76" s="167"/>
      <c r="C76" s="70"/>
      <c r="D76" s="71"/>
      <c r="E76" s="72"/>
      <c r="F76" s="72"/>
      <c r="G76" s="72"/>
      <c r="H76" s="29"/>
      <c r="I76" s="29"/>
      <c r="J76" s="72"/>
      <c r="K76" s="72"/>
      <c r="L76" s="72"/>
      <c r="M76" s="72"/>
      <c r="N76" s="72"/>
      <c r="O76" s="72"/>
      <c r="P76" s="72"/>
    </row>
    <row r="77" spans="1:16">
      <c r="A77" s="70"/>
      <c r="B77" s="167"/>
      <c r="C77" s="70"/>
      <c r="D77" s="71"/>
      <c r="E77" s="72"/>
      <c r="F77" s="72"/>
      <c r="G77" s="72"/>
      <c r="H77" s="29"/>
      <c r="I77" s="29"/>
      <c r="J77" s="72"/>
      <c r="K77" s="72"/>
      <c r="L77" s="72"/>
      <c r="M77" s="72"/>
      <c r="N77" s="72"/>
      <c r="O77" s="72"/>
      <c r="P77" s="72"/>
    </row>
    <row r="78" spans="1:16">
      <c r="A78" s="70"/>
      <c r="B78" s="167"/>
      <c r="C78" s="70"/>
      <c r="D78" s="71"/>
      <c r="E78" s="72"/>
      <c r="F78" s="72"/>
      <c r="G78" s="72"/>
      <c r="H78" s="29"/>
      <c r="I78" s="29"/>
      <c r="J78" s="72"/>
      <c r="K78" s="72"/>
      <c r="L78" s="72"/>
      <c r="M78" s="72"/>
      <c r="N78" s="72"/>
      <c r="O78" s="72"/>
      <c r="P78" s="72"/>
    </row>
    <row r="79" spans="1:16">
      <c r="A79" s="70"/>
      <c r="B79" s="167"/>
      <c r="C79" s="70"/>
      <c r="D79" s="71"/>
      <c r="E79" s="72"/>
      <c r="F79" s="72"/>
      <c r="G79" s="72"/>
      <c r="H79" s="29"/>
      <c r="I79" s="29"/>
      <c r="J79" s="72"/>
      <c r="K79" s="72"/>
      <c r="L79" s="72"/>
      <c r="M79" s="72"/>
      <c r="N79" s="72"/>
      <c r="O79" s="72"/>
      <c r="P79" s="72"/>
    </row>
    <row r="80" spans="1:16">
      <c r="A80" s="70"/>
      <c r="B80" s="167"/>
      <c r="C80" s="70"/>
      <c r="D80" s="71"/>
      <c r="E80" s="72"/>
      <c r="F80" s="72"/>
      <c r="G80" s="72"/>
      <c r="H80" s="29"/>
      <c r="I80" s="29"/>
      <c r="J80" s="72"/>
      <c r="K80" s="72"/>
      <c r="L80" s="72"/>
      <c r="M80" s="72"/>
      <c r="N80" s="72"/>
      <c r="O80" s="72"/>
      <c r="P80" s="72"/>
    </row>
    <row r="81" spans="1:16">
      <c r="A81" s="70"/>
      <c r="B81" s="167"/>
      <c r="C81" s="70"/>
      <c r="D81" s="71"/>
      <c r="E81" s="72"/>
      <c r="F81" s="72"/>
      <c r="G81" s="72"/>
      <c r="H81" s="29"/>
      <c r="I81" s="29"/>
      <c r="J81" s="72"/>
      <c r="K81" s="72"/>
      <c r="L81" s="72"/>
      <c r="M81" s="72"/>
      <c r="N81" s="72"/>
      <c r="O81" s="72"/>
      <c r="P81" s="72"/>
    </row>
    <row r="82" spans="1:16">
      <c r="A82" s="70"/>
      <c r="B82" s="167"/>
      <c r="C82" s="70"/>
      <c r="D82" s="71"/>
      <c r="E82" s="72"/>
      <c r="F82" s="72"/>
      <c r="G82" s="72"/>
      <c r="H82" s="29"/>
      <c r="I82" s="29"/>
      <c r="J82" s="72"/>
      <c r="K82" s="72"/>
      <c r="L82" s="72"/>
      <c r="M82" s="72"/>
      <c r="N82" s="72"/>
      <c r="O82" s="72"/>
      <c r="P82" s="72"/>
    </row>
    <row r="83" spans="1:16">
      <c r="A83" s="70"/>
      <c r="B83" s="167"/>
      <c r="C83" s="70"/>
      <c r="D83" s="71"/>
      <c r="E83" s="72"/>
      <c r="F83" s="72"/>
      <c r="G83" s="72"/>
      <c r="H83" s="29"/>
      <c r="I83" s="29"/>
      <c r="J83" s="72"/>
      <c r="K83" s="72"/>
      <c r="L83" s="72"/>
      <c r="M83" s="72"/>
      <c r="N83" s="72"/>
      <c r="O83" s="72"/>
      <c r="P83" s="72"/>
    </row>
    <row r="84" spans="1:16">
      <c r="A84" s="70"/>
      <c r="B84" s="167"/>
      <c r="C84" s="70"/>
      <c r="D84" s="71"/>
      <c r="E84" s="72"/>
      <c r="F84" s="72"/>
      <c r="G84" s="72"/>
      <c r="H84" s="29"/>
      <c r="I84" s="29"/>
      <c r="J84" s="72"/>
      <c r="K84" s="72"/>
      <c r="L84" s="72"/>
      <c r="M84" s="72"/>
      <c r="N84" s="72"/>
      <c r="O84" s="72"/>
      <c r="P84" s="72"/>
    </row>
    <row r="85" spans="1:16">
      <c r="A85" s="70"/>
      <c r="B85" s="167"/>
      <c r="C85" s="70"/>
      <c r="D85" s="71"/>
      <c r="E85" s="72"/>
      <c r="F85" s="72"/>
      <c r="G85" s="72"/>
      <c r="H85" s="29"/>
      <c r="I85" s="29"/>
      <c r="J85" s="72"/>
      <c r="K85" s="72"/>
      <c r="L85" s="72"/>
      <c r="M85" s="72"/>
      <c r="N85" s="72"/>
      <c r="O85" s="72"/>
      <c r="P85" s="72"/>
    </row>
    <row r="86" spans="1:16">
      <c r="A86" s="70"/>
      <c r="B86" s="167"/>
      <c r="C86" s="70"/>
      <c r="D86" s="71"/>
      <c r="E86" s="72"/>
      <c r="F86" s="72"/>
      <c r="G86" s="72"/>
      <c r="H86" s="29"/>
      <c r="I86" s="29"/>
      <c r="J86" s="72"/>
      <c r="K86" s="72"/>
      <c r="L86" s="72"/>
      <c r="M86" s="72"/>
      <c r="N86" s="72"/>
      <c r="O86" s="72"/>
      <c r="P86" s="72"/>
    </row>
    <row r="87" spans="1:16">
      <c r="A87" s="70"/>
      <c r="B87" s="167"/>
      <c r="C87" s="70"/>
      <c r="D87" s="71"/>
      <c r="E87" s="72"/>
      <c r="F87" s="72"/>
      <c r="G87" s="72"/>
      <c r="H87" s="29"/>
      <c r="I87" s="29"/>
      <c r="J87" s="72"/>
      <c r="K87" s="72"/>
      <c r="L87" s="72"/>
      <c r="M87" s="72"/>
      <c r="N87" s="72"/>
      <c r="O87" s="72"/>
      <c r="P87" s="72"/>
    </row>
    <row r="88" spans="1:16">
      <c r="A88" s="70"/>
      <c r="B88" s="167"/>
      <c r="C88" s="70"/>
      <c r="D88" s="71"/>
      <c r="E88" s="72"/>
      <c r="F88" s="72"/>
      <c r="G88" s="72"/>
      <c r="H88" s="29"/>
      <c r="I88" s="29"/>
      <c r="J88" s="72"/>
      <c r="K88" s="72"/>
      <c r="L88" s="72"/>
      <c r="M88" s="72"/>
      <c r="N88" s="72"/>
      <c r="O88" s="72"/>
      <c r="P88" s="72"/>
    </row>
    <row r="89" spans="1:16">
      <c r="A89" s="70"/>
      <c r="B89" s="167"/>
      <c r="C89" s="70"/>
      <c r="D89" s="71"/>
      <c r="E89" s="72"/>
      <c r="F89" s="72"/>
      <c r="G89" s="72"/>
      <c r="H89" s="29"/>
      <c r="I89" s="29"/>
      <c r="J89" s="72"/>
      <c r="K89" s="72"/>
      <c r="L89" s="72"/>
      <c r="M89" s="72"/>
      <c r="N89" s="72"/>
      <c r="O89" s="72"/>
      <c r="P89" s="72"/>
    </row>
    <row r="90" spans="1:16">
      <c r="A90" s="70"/>
      <c r="B90" s="167"/>
      <c r="C90" s="70"/>
      <c r="D90" s="71"/>
      <c r="E90" s="72"/>
      <c r="F90" s="72"/>
      <c r="G90" s="72"/>
      <c r="H90" s="29"/>
      <c r="I90" s="29"/>
      <c r="J90" s="72"/>
      <c r="K90" s="72"/>
      <c r="L90" s="72"/>
      <c r="M90" s="72"/>
      <c r="N90" s="72"/>
      <c r="O90" s="72"/>
      <c r="P90" s="72"/>
    </row>
    <row r="91" spans="1:16">
      <c r="A91" s="70"/>
      <c r="B91" s="167"/>
      <c r="C91" s="70"/>
      <c r="D91" s="71"/>
      <c r="E91" s="72"/>
      <c r="F91" s="72"/>
      <c r="G91" s="72"/>
      <c r="H91" s="29"/>
      <c r="I91" s="29"/>
      <c r="J91" s="72"/>
      <c r="K91" s="72"/>
      <c r="L91" s="72"/>
      <c r="M91" s="72"/>
      <c r="N91" s="72"/>
      <c r="O91" s="72"/>
      <c r="P91" s="72"/>
    </row>
    <row r="92" spans="1:16">
      <c r="A92" s="70"/>
      <c r="B92" s="167"/>
      <c r="C92" s="70"/>
      <c r="D92" s="71"/>
      <c r="E92" s="72"/>
      <c r="F92" s="72"/>
      <c r="G92" s="72"/>
      <c r="H92" s="29"/>
      <c r="I92" s="29"/>
      <c r="J92" s="72"/>
      <c r="K92" s="72"/>
      <c r="L92" s="72"/>
      <c r="M92" s="72"/>
      <c r="N92" s="72"/>
      <c r="O92" s="72"/>
      <c r="P92" s="72"/>
    </row>
    <row r="93" spans="1:16">
      <c r="A93" s="70"/>
      <c r="B93" s="167"/>
      <c r="C93" s="70"/>
      <c r="D93" s="71"/>
      <c r="E93" s="72"/>
      <c r="F93" s="72"/>
      <c r="G93" s="72"/>
      <c r="H93" s="29"/>
      <c r="I93" s="29"/>
      <c r="J93" s="72"/>
      <c r="K93" s="72"/>
      <c r="L93" s="72"/>
      <c r="M93" s="72"/>
      <c r="N93" s="72"/>
      <c r="O93" s="72"/>
      <c r="P93" s="72"/>
    </row>
    <row r="94" spans="1:16">
      <c r="A94" s="70"/>
      <c r="B94" s="167"/>
      <c r="C94" s="70"/>
      <c r="D94" s="71"/>
      <c r="E94" s="72"/>
      <c r="F94" s="72"/>
      <c r="G94" s="72"/>
      <c r="H94" s="29"/>
      <c r="I94" s="29"/>
      <c r="J94" s="72"/>
      <c r="K94" s="72"/>
      <c r="L94" s="72"/>
      <c r="M94" s="72"/>
      <c r="N94" s="72"/>
      <c r="O94" s="72"/>
      <c r="P94" s="72"/>
    </row>
    <row r="95" spans="1:16">
      <c r="A95" s="70"/>
      <c r="B95" s="167"/>
      <c r="C95" s="70"/>
      <c r="D95" s="71"/>
      <c r="E95" s="72"/>
      <c r="F95" s="72"/>
      <c r="G95" s="72"/>
      <c r="H95" s="29"/>
      <c r="I95" s="29"/>
      <c r="J95" s="72"/>
      <c r="K95" s="72"/>
      <c r="L95" s="72"/>
      <c r="M95" s="72"/>
      <c r="N95" s="72"/>
      <c r="O95" s="72"/>
      <c r="P95" s="72"/>
    </row>
    <row r="96" spans="1:16">
      <c r="A96" s="70"/>
      <c r="B96" s="167"/>
      <c r="C96" s="70"/>
      <c r="D96" s="71"/>
      <c r="E96" s="72"/>
      <c r="F96" s="72"/>
      <c r="G96" s="72"/>
      <c r="H96" s="29"/>
      <c r="I96" s="29"/>
      <c r="J96" s="72"/>
      <c r="K96" s="72"/>
      <c r="L96" s="72"/>
      <c r="M96" s="72"/>
      <c r="N96" s="72"/>
      <c r="O96" s="72"/>
      <c r="P96" s="72"/>
    </row>
    <row r="97" spans="1:16">
      <c r="A97" s="70"/>
      <c r="B97" s="167"/>
      <c r="C97" s="70"/>
      <c r="D97" s="71"/>
      <c r="E97" s="72"/>
      <c r="F97" s="72"/>
      <c r="G97" s="72"/>
      <c r="H97" s="29"/>
      <c r="I97" s="29"/>
      <c r="J97" s="72"/>
      <c r="K97" s="72"/>
      <c r="L97" s="72"/>
      <c r="M97" s="72"/>
      <c r="N97" s="72"/>
      <c r="O97" s="72"/>
      <c r="P97" s="72"/>
    </row>
    <row r="98" spans="1:16">
      <c r="A98" s="70"/>
      <c r="B98" s="167"/>
      <c r="C98" s="70"/>
      <c r="D98" s="71"/>
      <c r="E98" s="72"/>
      <c r="F98" s="72"/>
      <c r="G98" s="72"/>
      <c r="H98" s="29"/>
      <c r="I98" s="29"/>
      <c r="J98" s="72"/>
      <c r="K98" s="72"/>
      <c r="L98" s="72"/>
      <c r="M98" s="72"/>
      <c r="N98" s="72"/>
      <c r="O98" s="72"/>
      <c r="P98" s="72"/>
    </row>
    <row r="99" spans="1:16">
      <c r="A99" s="70"/>
      <c r="B99" s="167"/>
      <c r="C99" s="70"/>
      <c r="D99" s="71"/>
      <c r="E99" s="72"/>
      <c r="F99" s="72"/>
      <c r="G99" s="72"/>
      <c r="H99" s="29"/>
      <c r="I99" s="29"/>
      <c r="J99" s="72"/>
      <c r="K99" s="72"/>
      <c r="L99" s="72"/>
      <c r="M99" s="72"/>
      <c r="N99" s="72"/>
      <c r="O99" s="72"/>
      <c r="P99" s="72"/>
    </row>
    <row r="100" spans="1:16">
      <c r="A100" s="70"/>
      <c r="B100" s="167"/>
      <c r="C100" s="70"/>
      <c r="D100" s="71"/>
      <c r="E100" s="72"/>
      <c r="F100" s="72"/>
      <c r="G100" s="72"/>
      <c r="H100" s="29"/>
      <c r="I100" s="29"/>
      <c r="J100" s="72"/>
      <c r="K100" s="72"/>
      <c r="L100" s="72"/>
      <c r="M100" s="72"/>
      <c r="N100" s="72"/>
      <c r="O100" s="72"/>
      <c r="P100" s="72"/>
    </row>
    <row r="101" spans="1:16">
      <c r="A101" s="70"/>
      <c r="B101" s="167"/>
      <c r="C101" s="70"/>
      <c r="D101" s="71"/>
      <c r="E101" s="72"/>
      <c r="F101" s="72"/>
      <c r="G101" s="72"/>
      <c r="H101" s="29"/>
      <c r="I101" s="29"/>
      <c r="J101" s="72"/>
      <c r="K101" s="72"/>
      <c r="L101" s="72"/>
      <c r="M101" s="72"/>
      <c r="N101" s="72"/>
      <c r="O101" s="72"/>
      <c r="P101" s="72"/>
    </row>
    <row r="102" spans="1:16">
      <c r="A102" s="70"/>
      <c r="B102" s="167"/>
      <c r="C102" s="70"/>
      <c r="D102" s="71"/>
      <c r="E102" s="72"/>
      <c r="F102" s="72"/>
      <c r="G102" s="72"/>
      <c r="H102" s="29"/>
      <c r="I102" s="29"/>
      <c r="J102" s="72"/>
      <c r="K102" s="72"/>
      <c r="L102" s="72"/>
      <c r="M102" s="72"/>
      <c r="N102" s="72"/>
      <c r="O102" s="72"/>
      <c r="P102" s="72"/>
    </row>
    <row r="103" spans="1:16">
      <c r="A103" s="70"/>
      <c r="B103" s="167"/>
      <c r="C103" s="70"/>
      <c r="D103" s="71"/>
      <c r="E103" s="72"/>
      <c r="F103" s="72"/>
      <c r="G103" s="72"/>
      <c r="H103" s="29"/>
      <c r="I103" s="29"/>
      <c r="J103" s="72"/>
      <c r="K103" s="72"/>
      <c r="L103" s="72"/>
      <c r="M103" s="72"/>
      <c r="N103" s="72"/>
      <c r="O103" s="72"/>
      <c r="P103" s="72"/>
    </row>
    <row r="104" spans="1:16">
      <c r="A104" s="70"/>
      <c r="B104" s="167"/>
      <c r="C104" s="70"/>
      <c r="D104" s="71"/>
      <c r="E104" s="72"/>
      <c r="F104" s="72"/>
      <c r="G104" s="72"/>
      <c r="H104" s="29"/>
      <c r="I104" s="29"/>
      <c r="J104" s="72"/>
      <c r="K104" s="72"/>
      <c r="L104" s="72"/>
      <c r="M104" s="72"/>
      <c r="N104" s="72"/>
      <c r="O104" s="72"/>
      <c r="P104" s="72"/>
    </row>
    <row r="105" spans="1:16">
      <c r="A105" s="70"/>
      <c r="B105" s="167"/>
      <c r="C105" s="70"/>
      <c r="D105" s="71"/>
      <c r="E105" s="72"/>
      <c r="F105" s="72"/>
      <c r="G105" s="72"/>
      <c r="H105" s="29"/>
      <c r="I105" s="29"/>
      <c r="J105" s="72"/>
      <c r="K105" s="72"/>
      <c r="L105" s="72"/>
      <c r="M105" s="72"/>
      <c r="N105" s="72"/>
      <c r="O105" s="72"/>
      <c r="P105" s="72"/>
    </row>
    <row r="106" spans="1:16">
      <c r="A106" s="70"/>
      <c r="B106" s="167"/>
      <c r="C106" s="70"/>
      <c r="D106" s="71"/>
      <c r="E106" s="72"/>
      <c r="F106" s="72"/>
      <c r="G106" s="72"/>
      <c r="H106" s="29"/>
      <c r="I106" s="29"/>
      <c r="J106" s="72"/>
      <c r="K106" s="72"/>
      <c r="L106" s="72"/>
      <c r="M106" s="72"/>
      <c r="N106" s="72"/>
      <c r="O106" s="72"/>
      <c r="P106" s="72"/>
    </row>
    <row r="107" spans="1:16">
      <c r="A107" s="70"/>
      <c r="B107" s="167"/>
      <c r="C107" s="70"/>
      <c r="D107" s="71"/>
      <c r="E107" s="72"/>
      <c r="F107" s="72"/>
      <c r="G107" s="72"/>
      <c r="H107" s="29"/>
      <c r="I107" s="29"/>
      <c r="J107" s="72"/>
      <c r="K107" s="72"/>
      <c r="L107" s="72"/>
      <c r="M107" s="72"/>
      <c r="N107" s="72"/>
      <c r="O107" s="72"/>
      <c r="P107" s="72"/>
    </row>
    <row r="108" spans="1:16">
      <c r="A108" s="70"/>
      <c r="B108" s="167"/>
      <c r="C108" s="70"/>
      <c r="D108" s="71"/>
      <c r="E108" s="72"/>
      <c r="F108" s="72"/>
      <c r="G108" s="72"/>
      <c r="H108" s="29"/>
      <c r="I108" s="29"/>
      <c r="J108" s="72"/>
      <c r="K108" s="72"/>
      <c r="L108" s="72"/>
      <c r="M108" s="72"/>
      <c r="N108" s="72"/>
      <c r="O108" s="72"/>
      <c r="P108" s="72"/>
    </row>
    <row r="109" spans="1:16">
      <c r="A109" s="70"/>
      <c r="B109" s="167"/>
      <c r="C109" s="70"/>
      <c r="D109" s="71"/>
      <c r="E109" s="72"/>
      <c r="F109" s="72"/>
      <c r="G109" s="72"/>
      <c r="H109" s="29"/>
      <c r="I109" s="29"/>
      <c r="J109" s="72"/>
      <c r="K109" s="72"/>
      <c r="L109" s="72"/>
      <c r="M109" s="72"/>
      <c r="N109" s="72"/>
      <c r="O109" s="72"/>
      <c r="P109" s="72"/>
    </row>
    <row r="110" spans="1:16">
      <c r="A110" s="70"/>
      <c r="B110" s="167"/>
      <c r="C110" s="70"/>
      <c r="D110" s="71"/>
      <c r="E110" s="72"/>
      <c r="F110" s="72"/>
      <c r="G110" s="72"/>
      <c r="H110" s="29"/>
      <c r="I110" s="29"/>
      <c r="J110" s="72"/>
      <c r="K110" s="72"/>
      <c r="L110" s="72"/>
      <c r="M110" s="72"/>
      <c r="N110" s="72"/>
      <c r="O110" s="72"/>
      <c r="P110" s="72"/>
    </row>
    <row r="111" spans="1:16">
      <c r="A111" s="70"/>
      <c r="B111" s="167"/>
      <c r="C111" s="70"/>
      <c r="D111" s="71"/>
      <c r="E111" s="72"/>
      <c r="F111" s="72"/>
      <c r="G111" s="72"/>
      <c r="H111" s="29"/>
      <c r="I111" s="29"/>
      <c r="J111" s="72"/>
      <c r="K111" s="72"/>
      <c r="L111" s="72"/>
      <c r="M111" s="72"/>
      <c r="N111" s="72"/>
      <c r="O111" s="72"/>
      <c r="P111" s="72"/>
    </row>
    <row r="112" spans="1:16">
      <c r="A112" s="70"/>
      <c r="B112" s="167"/>
      <c r="C112" s="70"/>
      <c r="D112" s="71"/>
      <c r="E112" s="72"/>
      <c r="F112" s="72"/>
      <c r="G112" s="72"/>
      <c r="H112" s="29"/>
      <c r="I112" s="29"/>
      <c r="J112" s="72"/>
      <c r="K112" s="72"/>
      <c r="L112" s="72"/>
      <c r="M112" s="72"/>
      <c r="N112" s="72"/>
      <c r="O112" s="72"/>
      <c r="P112" s="72"/>
    </row>
    <row r="113" spans="1:16">
      <c r="A113" s="70"/>
      <c r="B113" s="167"/>
      <c r="C113" s="70"/>
      <c r="D113" s="71"/>
      <c r="E113" s="72"/>
      <c r="F113" s="72"/>
      <c r="G113" s="72"/>
      <c r="H113" s="29"/>
      <c r="I113" s="29"/>
      <c r="J113" s="72"/>
      <c r="K113" s="72"/>
      <c r="L113" s="72"/>
      <c r="M113" s="72"/>
      <c r="N113" s="72"/>
      <c r="O113" s="72"/>
      <c r="P113" s="72"/>
    </row>
    <row r="114" spans="1:16">
      <c r="A114" s="70"/>
      <c r="B114" s="167"/>
      <c r="C114" s="70"/>
      <c r="D114" s="71"/>
      <c r="E114" s="72"/>
      <c r="F114" s="72"/>
      <c r="G114" s="72"/>
      <c r="H114" s="29"/>
      <c r="I114" s="29"/>
      <c r="J114" s="72"/>
      <c r="K114" s="72"/>
      <c r="L114" s="72"/>
      <c r="M114" s="72"/>
      <c r="N114" s="72"/>
      <c r="O114" s="72"/>
      <c r="P114" s="72"/>
    </row>
    <row r="115" spans="1:16">
      <c r="A115" s="70"/>
      <c r="B115" s="167"/>
      <c r="C115" s="70"/>
      <c r="D115" s="71"/>
      <c r="E115" s="72"/>
      <c r="F115" s="72"/>
      <c r="G115" s="72"/>
      <c r="H115" s="29"/>
      <c r="I115" s="29"/>
      <c r="J115" s="72"/>
      <c r="K115" s="72"/>
      <c r="L115" s="72"/>
      <c r="M115" s="72"/>
      <c r="N115" s="72"/>
      <c r="O115" s="72"/>
      <c r="P115" s="72"/>
    </row>
    <row r="116" spans="1:16">
      <c r="A116" s="70"/>
      <c r="B116" s="167"/>
      <c r="C116" s="70"/>
      <c r="D116" s="71"/>
      <c r="E116" s="72"/>
      <c r="F116" s="72"/>
      <c r="G116" s="72"/>
      <c r="H116" s="29"/>
      <c r="I116" s="29"/>
      <c r="J116" s="72"/>
      <c r="K116" s="72"/>
      <c r="L116" s="72"/>
      <c r="M116" s="72"/>
      <c r="N116" s="72"/>
      <c r="O116" s="72"/>
      <c r="P116" s="72"/>
    </row>
    <row r="117" spans="1:16">
      <c r="A117" s="70"/>
      <c r="B117" s="167"/>
      <c r="C117" s="70"/>
      <c r="D117" s="71"/>
      <c r="E117" s="72"/>
      <c r="F117" s="72"/>
      <c r="G117" s="72"/>
      <c r="H117" s="29"/>
      <c r="I117" s="29"/>
      <c r="J117" s="72"/>
      <c r="K117" s="72"/>
      <c r="L117" s="72"/>
      <c r="M117" s="72"/>
      <c r="N117" s="72"/>
      <c r="O117" s="72"/>
      <c r="P117" s="72"/>
    </row>
    <row r="118" spans="1:16">
      <c r="A118" s="70"/>
      <c r="B118" s="167"/>
      <c r="C118" s="70"/>
      <c r="D118" s="71"/>
      <c r="E118" s="72"/>
      <c r="F118" s="72"/>
      <c r="G118" s="72"/>
      <c r="H118" s="29"/>
      <c r="I118" s="29"/>
      <c r="J118" s="72"/>
      <c r="K118" s="72"/>
      <c r="L118" s="72"/>
      <c r="M118" s="72"/>
      <c r="N118" s="72"/>
      <c r="O118" s="72"/>
      <c r="P118" s="72"/>
    </row>
    <row r="119" spans="1:16">
      <c r="A119" s="70"/>
      <c r="B119" s="167"/>
      <c r="C119" s="70"/>
      <c r="D119" s="71"/>
      <c r="E119" s="72"/>
      <c r="F119" s="72"/>
      <c r="G119" s="72"/>
      <c r="H119" s="29"/>
      <c r="I119" s="29"/>
      <c r="J119" s="72"/>
      <c r="K119" s="72"/>
      <c r="L119" s="72"/>
      <c r="M119" s="72"/>
      <c r="N119" s="72"/>
      <c r="O119" s="72"/>
      <c r="P119" s="72"/>
    </row>
    <row r="120" spans="1:16">
      <c r="A120" s="70"/>
      <c r="B120" s="167"/>
      <c r="C120" s="70"/>
      <c r="D120" s="71"/>
      <c r="E120" s="72"/>
      <c r="F120" s="72"/>
      <c r="G120" s="72"/>
      <c r="H120" s="29"/>
      <c r="I120" s="29"/>
      <c r="J120" s="72"/>
      <c r="K120" s="72"/>
      <c r="L120" s="72"/>
      <c r="M120" s="72"/>
      <c r="N120" s="72"/>
      <c r="O120" s="72"/>
      <c r="P120" s="72"/>
    </row>
    <row r="121" spans="1:16">
      <c r="A121" s="70"/>
      <c r="B121" s="167"/>
      <c r="C121" s="70"/>
      <c r="D121" s="71"/>
      <c r="E121" s="72"/>
      <c r="F121" s="72"/>
      <c r="G121" s="72"/>
      <c r="H121" s="29"/>
      <c r="I121" s="29"/>
      <c r="J121" s="72"/>
      <c r="K121" s="72"/>
      <c r="L121" s="72"/>
      <c r="M121" s="72"/>
      <c r="N121" s="72"/>
      <c r="O121" s="72"/>
      <c r="P121" s="72"/>
    </row>
    <row r="122" spans="1:16">
      <c r="A122" s="70"/>
      <c r="B122" s="167"/>
      <c r="C122" s="70"/>
      <c r="D122" s="71"/>
      <c r="E122" s="72"/>
      <c r="F122" s="72"/>
      <c r="G122" s="72"/>
      <c r="H122" s="29"/>
      <c r="I122" s="29"/>
      <c r="J122" s="72"/>
      <c r="K122" s="72"/>
      <c r="L122" s="72"/>
      <c r="M122" s="72"/>
      <c r="N122" s="72"/>
      <c r="O122" s="72"/>
      <c r="P122" s="72"/>
    </row>
    <row r="123" spans="1:16">
      <c r="A123" s="70"/>
      <c r="B123" s="167"/>
      <c r="C123" s="70"/>
      <c r="D123" s="71"/>
      <c r="E123" s="72"/>
      <c r="F123" s="72"/>
      <c r="G123" s="72"/>
      <c r="H123" s="29"/>
      <c r="I123" s="29"/>
      <c r="J123" s="72"/>
      <c r="K123" s="72"/>
      <c r="L123" s="72"/>
      <c r="M123" s="72"/>
      <c r="N123" s="72"/>
      <c r="O123" s="72"/>
      <c r="P123" s="72"/>
    </row>
    <row r="124" spans="1:16">
      <c r="A124" s="70"/>
      <c r="B124" s="167"/>
      <c r="C124" s="70"/>
      <c r="D124" s="71"/>
      <c r="E124" s="72"/>
      <c r="F124" s="72"/>
      <c r="G124" s="72"/>
      <c r="H124" s="29"/>
      <c r="I124" s="29"/>
      <c r="J124" s="72"/>
      <c r="K124" s="72"/>
      <c r="L124" s="72"/>
      <c r="M124" s="72"/>
      <c r="N124" s="72"/>
      <c r="O124" s="72"/>
      <c r="P124" s="72"/>
    </row>
    <row r="125" spans="1:16">
      <c r="A125" s="70"/>
      <c r="B125" s="167"/>
      <c r="C125" s="70"/>
      <c r="D125" s="71"/>
      <c r="E125" s="72"/>
      <c r="F125" s="72"/>
      <c r="G125" s="72"/>
      <c r="H125" s="29"/>
      <c r="I125" s="29"/>
      <c r="J125" s="72"/>
      <c r="K125" s="72"/>
      <c r="L125" s="72"/>
      <c r="M125" s="72"/>
      <c r="N125" s="72"/>
      <c r="O125" s="72"/>
      <c r="P125" s="72"/>
    </row>
    <row r="126" spans="1:16">
      <c r="A126" s="70"/>
      <c r="B126" s="167"/>
      <c r="C126" s="70"/>
      <c r="D126" s="71"/>
      <c r="E126" s="72"/>
      <c r="F126" s="72"/>
      <c r="G126" s="72"/>
      <c r="H126" s="29"/>
      <c r="I126" s="29"/>
      <c r="J126" s="72"/>
      <c r="K126" s="72"/>
      <c r="L126" s="72"/>
      <c r="M126" s="72"/>
      <c r="N126" s="72"/>
      <c r="O126" s="72"/>
      <c r="P126" s="72"/>
    </row>
    <row r="127" spans="1:16">
      <c r="A127" s="70"/>
      <c r="B127" s="167"/>
      <c r="C127" s="70"/>
      <c r="D127" s="71"/>
      <c r="E127" s="72"/>
      <c r="F127" s="72"/>
      <c r="G127" s="72"/>
      <c r="H127" s="29"/>
      <c r="I127" s="29"/>
      <c r="J127" s="72"/>
      <c r="K127" s="72"/>
      <c r="L127" s="72"/>
      <c r="M127" s="72"/>
      <c r="N127" s="72"/>
      <c r="O127" s="72"/>
      <c r="P127" s="72"/>
    </row>
    <row r="128" spans="1:16">
      <c r="A128" s="70"/>
      <c r="B128" s="167"/>
      <c r="C128" s="70"/>
      <c r="D128" s="71"/>
      <c r="E128" s="72"/>
      <c r="F128" s="72"/>
      <c r="G128" s="72"/>
      <c r="H128" s="29"/>
      <c r="I128" s="29"/>
      <c r="J128" s="72"/>
      <c r="K128" s="72"/>
      <c r="L128" s="72"/>
      <c r="M128" s="72"/>
      <c r="N128" s="72"/>
      <c r="O128" s="72"/>
      <c r="P128" s="72"/>
    </row>
    <row r="129" spans="1:16">
      <c r="A129" s="70"/>
      <c r="B129" s="167"/>
      <c r="C129" s="70"/>
      <c r="D129" s="71"/>
      <c r="E129" s="72"/>
      <c r="F129" s="72"/>
      <c r="G129" s="72"/>
      <c r="H129" s="29"/>
      <c r="I129" s="29"/>
      <c r="J129" s="72"/>
      <c r="K129" s="72"/>
      <c r="L129" s="72"/>
      <c r="M129" s="72"/>
      <c r="N129" s="72"/>
      <c r="O129" s="72"/>
      <c r="P129" s="72"/>
    </row>
    <row r="130" spans="1:16">
      <c r="A130" s="70"/>
      <c r="B130" s="167"/>
      <c r="C130" s="70"/>
      <c r="D130" s="71"/>
      <c r="E130" s="72"/>
      <c r="F130" s="72"/>
      <c r="G130" s="72"/>
      <c r="H130" s="29"/>
      <c r="I130" s="29"/>
      <c r="J130" s="72"/>
      <c r="K130" s="72"/>
      <c r="L130" s="72"/>
      <c r="M130" s="72"/>
      <c r="N130" s="72"/>
      <c r="O130" s="72"/>
      <c r="P130" s="72"/>
    </row>
    <row r="131" spans="1:16">
      <c r="A131" s="70"/>
      <c r="B131" s="167"/>
      <c r="C131" s="70"/>
      <c r="D131" s="71"/>
      <c r="E131" s="72"/>
      <c r="F131" s="72"/>
      <c r="G131" s="72"/>
      <c r="H131" s="29"/>
      <c r="I131" s="29"/>
      <c r="J131" s="72"/>
      <c r="K131" s="72"/>
      <c r="L131" s="72"/>
      <c r="M131" s="72"/>
      <c r="N131" s="72"/>
      <c r="O131" s="72"/>
      <c r="P131" s="72"/>
    </row>
    <row r="132" spans="1:16">
      <c r="A132" s="70"/>
      <c r="B132" s="167"/>
      <c r="C132" s="70"/>
      <c r="D132" s="71"/>
      <c r="E132" s="72"/>
      <c r="F132" s="72"/>
      <c r="G132" s="72"/>
      <c r="H132" s="29"/>
      <c r="I132" s="29"/>
      <c r="J132" s="72"/>
      <c r="K132" s="72"/>
      <c r="L132" s="72"/>
      <c r="M132" s="72"/>
      <c r="N132" s="72"/>
      <c r="O132" s="72"/>
      <c r="P132" s="72"/>
    </row>
    <row r="133" spans="1:16">
      <c r="A133" s="70"/>
      <c r="B133" s="167"/>
      <c r="C133" s="70"/>
      <c r="D133" s="71"/>
      <c r="E133" s="72"/>
      <c r="F133" s="72"/>
      <c r="G133" s="72"/>
      <c r="H133" s="29"/>
      <c r="I133" s="29"/>
      <c r="J133" s="72"/>
      <c r="K133" s="72"/>
      <c r="L133" s="72"/>
      <c r="M133" s="72"/>
      <c r="N133" s="72"/>
      <c r="O133" s="72"/>
      <c r="P133" s="72"/>
    </row>
    <row r="134" spans="1:16">
      <c r="A134" s="70"/>
      <c r="B134" s="167"/>
      <c r="C134" s="70"/>
      <c r="D134" s="71"/>
      <c r="E134" s="72"/>
      <c r="F134" s="72"/>
      <c r="G134" s="72"/>
      <c r="H134" s="29"/>
      <c r="I134" s="29"/>
      <c r="J134" s="72"/>
      <c r="K134" s="72"/>
      <c r="L134" s="72"/>
      <c r="M134" s="72"/>
      <c r="N134" s="72"/>
      <c r="O134" s="72"/>
      <c r="P134" s="72"/>
    </row>
    <row r="135" spans="1:16">
      <c r="A135" s="70"/>
      <c r="B135" s="167"/>
      <c r="C135" s="70"/>
      <c r="D135" s="71"/>
      <c r="E135" s="72"/>
      <c r="F135" s="72"/>
      <c r="G135" s="72"/>
      <c r="H135" s="29"/>
      <c r="I135" s="29"/>
      <c r="J135" s="72"/>
      <c r="K135" s="72"/>
      <c r="L135" s="72"/>
      <c r="M135" s="72"/>
      <c r="N135" s="72"/>
      <c r="O135" s="72"/>
      <c r="P135" s="72"/>
    </row>
    <row r="136" spans="1:16">
      <c r="A136" s="70"/>
      <c r="B136" s="167"/>
      <c r="C136" s="70"/>
      <c r="D136" s="71"/>
      <c r="E136" s="72"/>
      <c r="F136" s="72"/>
      <c r="G136" s="72"/>
      <c r="H136" s="29"/>
      <c r="I136" s="29"/>
      <c r="J136" s="72"/>
      <c r="K136" s="72"/>
      <c r="L136" s="72"/>
      <c r="M136" s="72"/>
      <c r="N136" s="72"/>
      <c r="O136" s="72"/>
      <c r="P136" s="72"/>
    </row>
    <row r="137" spans="1:16">
      <c r="A137" s="70"/>
      <c r="B137" s="167"/>
      <c r="C137" s="70"/>
      <c r="D137" s="71"/>
      <c r="E137" s="72"/>
      <c r="F137" s="72"/>
      <c r="G137" s="72"/>
      <c r="H137" s="29"/>
      <c r="I137" s="29"/>
      <c r="J137" s="72"/>
      <c r="K137" s="72"/>
      <c r="L137" s="72"/>
      <c r="M137" s="72"/>
      <c r="N137" s="72"/>
      <c r="O137" s="72"/>
      <c r="P137" s="72"/>
    </row>
    <row r="138" spans="1:16">
      <c r="A138" s="70"/>
      <c r="B138" s="167"/>
      <c r="C138" s="70"/>
      <c r="D138" s="71"/>
      <c r="E138" s="72"/>
      <c r="F138" s="72"/>
      <c r="G138" s="72"/>
      <c r="H138" s="29"/>
      <c r="I138" s="29"/>
      <c r="J138" s="72"/>
      <c r="K138" s="72"/>
      <c r="L138" s="72"/>
      <c r="M138" s="72"/>
      <c r="N138" s="72"/>
      <c r="O138" s="72"/>
      <c r="P138" s="72"/>
    </row>
    <row r="139" spans="1:16">
      <c r="A139" s="70"/>
      <c r="B139" s="167"/>
      <c r="C139" s="70"/>
      <c r="D139" s="71"/>
      <c r="E139" s="72"/>
      <c r="F139" s="72"/>
      <c r="G139" s="72"/>
      <c r="H139" s="29"/>
      <c r="I139" s="29"/>
      <c r="J139" s="72"/>
      <c r="K139" s="72"/>
      <c r="L139" s="72"/>
      <c r="M139" s="72"/>
      <c r="N139" s="72"/>
      <c r="O139" s="72"/>
      <c r="P139" s="72"/>
    </row>
    <row r="140" spans="1:16">
      <c r="A140" s="70"/>
      <c r="B140" s="167"/>
      <c r="C140" s="70"/>
      <c r="D140" s="71"/>
      <c r="E140" s="72"/>
      <c r="F140" s="72"/>
      <c r="G140" s="72"/>
      <c r="H140" s="29"/>
      <c r="I140" s="29"/>
      <c r="J140" s="72"/>
      <c r="K140" s="72"/>
      <c r="L140" s="72"/>
      <c r="M140" s="72"/>
      <c r="N140" s="72"/>
      <c r="O140" s="72"/>
      <c r="P140" s="72"/>
    </row>
    <row r="141" spans="1:16">
      <c r="A141" s="70"/>
      <c r="B141" s="167"/>
      <c r="C141" s="70"/>
      <c r="D141" s="71"/>
      <c r="E141" s="72"/>
      <c r="F141" s="72"/>
      <c r="G141" s="72"/>
      <c r="H141" s="29"/>
      <c r="I141" s="29"/>
      <c r="J141" s="72"/>
      <c r="K141" s="72"/>
      <c r="L141" s="72"/>
      <c r="M141" s="72"/>
      <c r="N141" s="72"/>
      <c r="O141" s="72"/>
      <c r="P141" s="72"/>
    </row>
    <row r="142" spans="1:16">
      <c r="A142" s="70"/>
      <c r="B142" s="167"/>
      <c r="C142" s="70"/>
      <c r="D142" s="71"/>
      <c r="E142" s="72"/>
      <c r="F142" s="72"/>
      <c r="G142" s="72"/>
      <c r="H142" s="29"/>
      <c r="I142" s="29"/>
      <c r="J142" s="72"/>
      <c r="K142" s="72"/>
      <c r="L142" s="72"/>
      <c r="M142" s="72"/>
      <c r="N142" s="72"/>
      <c r="O142" s="72"/>
      <c r="P142" s="72"/>
    </row>
    <row r="143" spans="1:16">
      <c r="A143" s="70"/>
      <c r="B143" s="167"/>
      <c r="C143" s="70"/>
      <c r="D143" s="71"/>
      <c r="E143" s="72"/>
      <c r="F143" s="72"/>
      <c r="G143" s="72"/>
      <c r="H143" s="29"/>
      <c r="I143" s="29"/>
      <c r="J143" s="72"/>
      <c r="K143" s="72"/>
      <c r="L143" s="72"/>
      <c r="M143" s="72"/>
      <c r="N143" s="72"/>
      <c r="O143" s="72"/>
      <c r="P143" s="72"/>
    </row>
    <row r="144" spans="1:16">
      <c r="A144" s="70"/>
      <c r="B144" s="167"/>
      <c r="C144" s="70"/>
      <c r="D144" s="71"/>
      <c r="E144" s="72"/>
      <c r="F144" s="72"/>
      <c r="G144" s="72"/>
      <c r="H144" s="29"/>
      <c r="I144" s="29"/>
      <c r="J144" s="72"/>
      <c r="K144" s="72"/>
      <c r="L144" s="72"/>
      <c r="M144" s="72"/>
      <c r="N144" s="72"/>
      <c r="O144" s="72"/>
      <c r="P144" s="72"/>
    </row>
    <row r="145" spans="1:16">
      <c r="A145" s="70"/>
      <c r="B145" s="167"/>
      <c r="C145" s="70"/>
      <c r="D145" s="71"/>
      <c r="E145" s="72"/>
      <c r="F145" s="72"/>
      <c r="G145" s="72"/>
      <c r="H145" s="29"/>
      <c r="I145" s="29"/>
      <c r="J145" s="72"/>
      <c r="K145" s="72"/>
      <c r="L145" s="72"/>
      <c r="M145" s="72"/>
      <c r="N145" s="72"/>
      <c r="O145" s="72"/>
      <c r="P145" s="72"/>
    </row>
    <row r="146" spans="1:16">
      <c r="A146" s="70"/>
      <c r="B146" s="167"/>
      <c r="C146" s="70"/>
      <c r="D146" s="71"/>
      <c r="E146" s="72"/>
      <c r="F146" s="72"/>
      <c r="G146" s="72"/>
      <c r="H146" s="29"/>
      <c r="I146" s="29"/>
      <c r="J146" s="72"/>
      <c r="K146" s="72"/>
      <c r="L146" s="72"/>
      <c r="M146" s="72"/>
      <c r="N146" s="72"/>
      <c r="O146" s="72"/>
      <c r="P146" s="72"/>
    </row>
    <row r="147" spans="1:16">
      <c r="A147" s="70"/>
      <c r="B147" s="167"/>
      <c r="C147" s="70"/>
      <c r="D147" s="71"/>
      <c r="E147" s="72"/>
      <c r="F147" s="72"/>
      <c r="G147" s="72"/>
      <c r="H147" s="29"/>
      <c r="I147" s="29"/>
      <c r="J147" s="72"/>
      <c r="K147" s="72"/>
      <c r="L147" s="72"/>
      <c r="M147" s="72"/>
      <c r="N147" s="72"/>
      <c r="O147" s="72"/>
      <c r="P147" s="72"/>
    </row>
    <row r="148" spans="1:16">
      <c r="A148" s="70"/>
      <c r="B148" s="167"/>
      <c r="C148" s="70"/>
      <c r="D148" s="71"/>
      <c r="E148" s="72"/>
      <c r="F148" s="72"/>
      <c r="G148" s="72"/>
      <c r="H148" s="29"/>
      <c r="I148" s="29"/>
      <c r="J148" s="72"/>
      <c r="K148" s="72"/>
      <c r="L148" s="72"/>
      <c r="M148" s="72"/>
      <c r="N148" s="72"/>
      <c r="O148" s="72"/>
      <c r="P148" s="72"/>
    </row>
    <row r="149" spans="1:16">
      <c r="A149" s="70"/>
      <c r="B149" s="167"/>
      <c r="C149" s="70"/>
      <c r="D149" s="71"/>
      <c r="E149" s="72"/>
      <c r="F149" s="72"/>
      <c r="G149" s="72"/>
      <c r="H149" s="29"/>
      <c r="I149" s="29"/>
      <c r="J149" s="72"/>
      <c r="K149" s="72"/>
      <c r="L149" s="72"/>
      <c r="M149" s="72"/>
      <c r="N149" s="72"/>
      <c r="O149" s="72"/>
      <c r="P149" s="72"/>
    </row>
    <row r="150" spans="1:16">
      <c r="A150" s="70"/>
      <c r="B150" s="167"/>
      <c r="C150" s="70"/>
      <c r="D150" s="71"/>
      <c r="E150" s="72"/>
      <c r="F150" s="72"/>
      <c r="G150" s="72"/>
      <c r="H150" s="29"/>
      <c r="I150" s="29"/>
      <c r="J150" s="72"/>
      <c r="K150" s="72"/>
      <c r="L150" s="72"/>
      <c r="M150" s="72"/>
      <c r="N150" s="72"/>
      <c r="O150" s="72"/>
      <c r="P150" s="72"/>
    </row>
    <row r="151" spans="1:16">
      <c r="A151" s="70"/>
      <c r="B151" s="167"/>
      <c r="C151" s="70"/>
      <c r="D151" s="71"/>
      <c r="E151" s="72"/>
      <c r="F151" s="72"/>
      <c r="G151" s="72"/>
      <c r="H151" s="29"/>
      <c r="I151" s="29"/>
      <c r="J151" s="72"/>
      <c r="K151" s="72"/>
      <c r="L151" s="72"/>
      <c r="M151" s="72"/>
      <c r="N151" s="72"/>
      <c r="O151" s="72"/>
      <c r="P151" s="72"/>
    </row>
    <row r="152" spans="1:16">
      <c r="A152" s="70"/>
      <c r="B152" s="167"/>
      <c r="C152" s="70"/>
      <c r="D152" s="71"/>
      <c r="E152" s="72"/>
      <c r="F152" s="72"/>
      <c r="G152" s="72"/>
      <c r="H152" s="29"/>
      <c r="I152" s="29"/>
      <c r="J152" s="72"/>
      <c r="K152" s="72"/>
      <c r="L152" s="72"/>
      <c r="M152" s="72"/>
      <c r="N152" s="72"/>
      <c r="O152" s="72"/>
      <c r="P152" s="72"/>
    </row>
    <row r="153" spans="1:16">
      <c r="A153" s="70"/>
      <c r="B153" s="167"/>
      <c r="C153" s="70"/>
      <c r="D153" s="71"/>
      <c r="E153" s="72"/>
      <c r="F153" s="72"/>
      <c r="G153" s="72"/>
      <c r="H153" s="29"/>
      <c r="I153" s="29"/>
      <c r="J153" s="72"/>
      <c r="K153" s="72"/>
      <c r="L153" s="72"/>
      <c r="M153" s="72"/>
      <c r="N153" s="72"/>
      <c r="O153" s="72"/>
      <c r="P153" s="72"/>
    </row>
    <row r="154" spans="1:16">
      <c r="A154" s="70"/>
      <c r="B154" s="167"/>
      <c r="C154" s="70"/>
      <c r="D154" s="71"/>
      <c r="E154" s="72"/>
      <c r="F154" s="72"/>
      <c r="G154" s="72"/>
      <c r="H154" s="29"/>
      <c r="I154" s="29"/>
      <c r="J154" s="72"/>
      <c r="K154" s="72"/>
      <c r="L154" s="72"/>
      <c r="M154" s="72"/>
      <c r="N154" s="72"/>
      <c r="O154" s="72"/>
      <c r="P154" s="72"/>
    </row>
    <row r="155" spans="1:16">
      <c r="A155" s="70"/>
      <c r="B155" s="167"/>
      <c r="C155" s="70"/>
      <c r="D155" s="71"/>
      <c r="E155" s="72"/>
      <c r="F155" s="72"/>
      <c r="G155" s="72"/>
      <c r="H155" s="29"/>
      <c r="I155" s="29"/>
      <c r="J155" s="72"/>
      <c r="K155" s="72"/>
      <c r="L155" s="72"/>
      <c r="M155" s="72"/>
      <c r="N155" s="72"/>
      <c r="O155" s="72"/>
      <c r="P155" s="72"/>
    </row>
    <row r="156" spans="1:16">
      <c r="A156" s="70"/>
      <c r="B156" s="167"/>
      <c r="C156" s="70"/>
      <c r="D156" s="71"/>
      <c r="E156" s="72"/>
      <c r="F156" s="72"/>
      <c r="G156" s="72"/>
      <c r="H156" s="29"/>
      <c r="I156" s="29"/>
      <c r="J156" s="72"/>
      <c r="K156" s="72"/>
      <c r="L156" s="72"/>
      <c r="M156" s="72"/>
      <c r="N156" s="72"/>
      <c r="O156" s="72"/>
      <c r="P156" s="72"/>
    </row>
    <row r="157" spans="1:16">
      <c r="A157" s="70"/>
      <c r="B157" s="167"/>
      <c r="C157" s="70"/>
      <c r="D157" s="71"/>
      <c r="E157" s="72"/>
      <c r="F157" s="72"/>
      <c r="G157" s="72"/>
      <c r="H157" s="29"/>
      <c r="I157" s="29"/>
      <c r="J157" s="72"/>
      <c r="K157" s="72"/>
      <c r="L157" s="72"/>
      <c r="M157" s="72"/>
      <c r="N157" s="72"/>
      <c r="O157" s="72"/>
      <c r="P157" s="72"/>
    </row>
    <row r="158" spans="1:16">
      <c r="A158" s="70"/>
      <c r="B158" s="167"/>
      <c r="C158" s="70"/>
      <c r="D158" s="71"/>
      <c r="E158" s="72"/>
      <c r="F158" s="72"/>
      <c r="G158" s="72"/>
      <c r="H158" s="29"/>
      <c r="I158" s="29"/>
      <c r="J158" s="72"/>
      <c r="K158" s="72"/>
      <c r="L158" s="72"/>
      <c r="M158" s="72"/>
      <c r="N158" s="72"/>
      <c r="O158" s="72"/>
      <c r="P158" s="72"/>
    </row>
    <row r="159" spans="1:16">
      <c r="A159" s="70"/>
      <c r="B159" s="167"/>
      <c r="C159" s="70"/>
      <c r="D159" s="71"/>
      <c r="E159" s="72"/>
      <c r="F159" s="72"/>
      <c r="G159" s="72"/>
      <c r="H159" s="29"/>
      <c r="I159" s="29"/>
      <c r="J159" s="72"/>
      <c r="K159" s="72"/>
      <c r="L159" s="72"/>
      <c r="M159" s="72"/>
      <c r="N159" s="72"/>
      <c r="O159" s="72"/>
      <c r="P159" s="72"/>
    </row>
    <row r="160" spans="1:16">
      <c r="A160" s="70"/>
      <c r="B160" s="167"/>
      <c r="C160" s="70"/>
      <c r="D160" s="71"/>
      <c r="E160" s="72"/>
      <c r="F160" s="72"/>
      <c r="G160" s="72"/>
      <c r="H160" s="29"/>
      <c r="I160" s="29"/>
      <c r="J160" s="72"/>
      <c r="K160" s="72"/>
      <c r="L160" s="72"/>
      <c r="M160" s="72"/>
      <c r="N160" s="72"/>
      <c r="O160" s="72"/>
      <c r="P160" s="72"/>
    </row>
    <row r="161" spans="1:16">
      <c r="A161" s="70"/>
      <c r="B161" s="167"/>
      <c r="C161" s="70"/>
      <c r="D161" s="71"/>
      <c r="E161" s="72"/>
      <c r="F161" s="72"/>
      <c r="G161" s="72"/>
      <c r="H161" s="29"/>
      <c r="I161" s="29"/>
      <c r="J161" s="72"/>
      <c r="K161" s="72"/>
      <c r="L161" s="72"/>
      <c r="M161" s="72"/>
      <c r="N161" s="72"/>
      <c r="O161" s="72"/>
      <c r="P161" s="72"/>
    </row>
    <row r="162" spans="1:16">
      <c r="A162" s="70"/>
      <c r="B162" s="167"/>
      <c r="C162" s="70"/>
      <c r="D162" s="71"/>
      <c r="E162" s="72"/>
      <c r="F162" s="72"/>
      <c r="G162" s="72"/>
      <c r="H162" s="29"/>
      <c r="I162" s="29"/>
      <c r="J162" s="72"/>
      <c r="K162" s="72"/>
      <c r="L162" s="72"/>
      <c r="M162" s="72"/>
      <c r="N162" s="72"/>
      <c r="O162" s="72"/>
      <c r="P162" s="72"/>
    </row>
    <row r="163" spans="1:16">
      <c r="A163" s="70"/>
      <c r="B163" s="167"/>
      <c r="C163" s="70"/>
      <c r="D163" s="71"/>
      <c r="E163" s="72"/>
      <c r="F163" s="72"/>
      <c r="G163" s="72"/>
      <c r="H163" s="29"/>
      <c r="I163" s="29"/>
      <c r="J163" s="72"/>
      <c r="K163" s="72"/>
      <c r="L163" s="72"/>
      <c r="M163" s="72"/>
      <c r="N163" s="72"/>
      <c r="O163" s="72"/>
      <c r="P163" s="72"/>
    </row>
    <row r="164" spans="1:16">
      <c r="A164" s="70"/>
      <c r="B164" s="167"/>
      <c r="C164" s="70"/>
      <c r="D164" s="71"/>
      <c r="E164" s="72"/>
      <c r="F164" s="72"/>
      <c r="G164" s="72"/>
      <c r="H164" s="29"/>
      <c r="I164" s="29"/>
      <c r="J164" s="72"/>
      <c r="K164" s="72"/>
      <c r="L164" s="72"/>
      <c r="M164" s="72"/>
      <c r="N164" s="72"/>
      <c r="O164" s="72"/>
      <c r="P164" s="72"/>
    </row>
    <row r="165" spans="1:16">
      <c r="A165" s="70"/>
      <c r="B165" s="167"/>
      <c r="C165" s="70"/>
      <c r="D165" s="71"/>
      <c r="E165" s="72"/>
      <c r="F165" s="72"/>
      <c r="G165" s="72"/>
      <c r="H165" s="29"/>
      <c r="I165" s="29"/>
      <c r="J165" s="72"/>
      <c r="K165" s="72"/>
      <c r="L165" s="72"/>
      <c r="M165" s="72"/>
      <c r="N165" s="72"/>
      <c r="O165" s="72"/>
      <c r="P165" s="72"/>
    </row>
    <row r="166" spans="1:16">
      <c r="A166" s="70"/>
      <c r="B166" s="167"/>
      <c r="C166" s="70"/>
      <c r="D166" s="71"/>
      <c r="E166" s="72"/>
      <c r="F166" s="72"/>
      <c r="G166" s="72"/>
      <c r="H166" s="29"/>
      <c r="I166" s="29"/>
      <c r="J166" s="72"/>
      <c r="K166" s="72"/>
      <c r="L166" s="72"/>
      <c r="M166" s="72"/>
      <c r="N166" s="72"/>
      <c r="O166" s="72"/>
      <c r="P166" s="72"/>
    </row>
    <row r="167" spans="1:16">
      <c r="A167" s="70"/>
      <c r="B167" s="167"/>
      <c r="C167" s="70"/>
      <c r="D167" s="71"/>
      <c r="E167" s="72"/>
      <c r="F167" s="72"/>
      <c r="G167" s="72"/>
      <c r="H167" s="29"/>
      <c r="I167" s="29"/>
      <c r="J167" s="72"/>
      <c r="K167" s="72"/>
      <c r="L167" s="72"/>
      <c r="M167" s="72"/>
      <c r="N167" s="72"/>
      <c r="O167" s="72"/>
      <c r="P167" s="72"/>
    </row>
    <row r="168" spans="1:16">
      <c r="A168" s="70"/>
      <c r="B168" s="167"/>
      <c r="C168" s="70"/>
      <c r="D168" s="71"/>
      <c r="E168" s="72"/>
      <c r="F168" s="72"/>
      <c r="G168" s="72"/>
      <c r="H168" s="29"/>
      <c r="I168" s="29"/>
      <c r="J168" s="72"/>
      <c r="K168" s="72"/>
      <c r="L168" s="72"/>
      <c r="M168" s="72"/>
      <c r="N168" s="72"/>
      <c r="O168" s="72"/>
      <c r="P168" s="72"/>
    </row>
    <row r="169" spans="1:16">
      <c r="A169" s="70"/>
      <c r="B169" s="167"/>
      <c r="C169" s="70"/>
      <c r="D169" s="71"/>
      <c r="E169" s="72"/>
      <c r="F169" s="72"/>
      <c r="G169" s="72"/>
      <c r="H169" s="29"/>
      <c r="I169" s="29"/>
      <c r="J169" s="72"/>
      <c r="K169" s="72"/>
      <c r="L169" s="72"/>
      <c r="M169" s="72"/>
      <c r="N169" s="72"/>
      <c r="O169" s="72"/>
      <c r="P169" s="72"/>
    </row>
    <row r="170" spans="1:16">
      <c r="A170" s="70"/>
      <c r="B170" s="167"/>
      <c r="C170" s="70"/>
      <c r="D170" s="71"/>
      <c r="E170" s="72"/>
      <c r="F170" s="72"/>
      <c r="G170" s="72"/>
      <c r="H170" s="29"/>
      <c r="I170" s="29"/>
      <c r="J170" s="72"/>
      <c r="K170" s="72"/>
      <c r="L170" s="72"/>
      <c r="M170" s="72"/>
      <c r="N170" s="72"/>
      <c r="O170" s="72"/>
      <c r="P170" s="72"/>
    </row>
    <row r="171" spans="1:16">
      <c r="A171" s="70"/>
      <c r="B171" s="167"/>
      <c r="C171" s="70"/>
      <c r="D171" s="71"/>
      <c r="E171" s="72"/>
      <c r="F171" s="72"/>
      <c r="G171" s="72"/>
      <c r="H171" s="29"/>
      <c r="I171" s="29"/>
      <c r="J171" s="72"/>
      <c r="K171" s="72"/>
      <c r="L171" s="72"/>
      <c r="M171" s="72"/>
      <c r="N171" s="72"/>
      <c r="O171" s="72"/>
      <c r="P171" s="72"/>
    </row>
    <row r="172" spans="1:16">
      <c r="A172" s="70"/>
      <c r="B172" s="167"/>
      <c r="C172" s="70"/>
      <c r="D172" s="71"/>
      <c r="E172" s="72"/>
      <c r="F172" s="72"/>
      <c r="G172" s="72"/>
      <c r="H172" s="29"/>
      <c r="I172" s="29"/>
      <c r="J172" s="72"/>
      <c r="K172" s="72"/>
      <c r="L172" s="72"/>
      <c r="M172" s="72"/>
      <c r="N172" s="72"/>
      <c r="O172" s="72"/>
      <c r="P172" s="72"/>
    </row>
    <row r="173" spans="1:16">
      <c r="A173" s="70"/>
      <c r="B173" s="167"/>
      <c r="C173" s="70"/>
      <c r="D173" s="71"/>
      <c r="E173" s="72"/>
      <c r="F173" s="72"/>
      <c r="G173" s="72"/>
      <c r="H173" s="29"/>
      <c r="I173" s="29"/>
      <c r="J173" s="72"/>
      <c r="K173" s="72"/>
      <c r="L173" s="72"/>
      <c r="M173" s="72"/>
      <c r="N173" s="72"/>
      <c r="O173" s="72"/>
      <c r="P173" s="72"/>
    </row>
    <row r="174" spans="1:16">
      <c r="A174" s="70"/>
      <c r="B174" s="167"/>
      <c r="C174" s="70"/>
      <c r="D174" s="71"/>
      <c r="E174" s="72"/>
      <c r="F174" s="72"/>
      <c r="G174" s="72"/>
      <c r="H174" s="29"/>
      <c r="I174" s="29"/>
      <c r="J174" s="72"/>
      <c r="K174" s="72"/>
      <c r="L174" s="72"/>
      <c r="M174" s="72"/>
      <c r="N174" s="72"/>
      <c r="O174" s="72"/>
      <c r="P174" s="72"/>
    </row>
    <row r="175" spans="1:16">
      <c r="A175" s="70"/>
      <c r="B175" s="167"/>
      <c r="C175" s="70"/>
      <c r="D175" s="71"/>
      <c r="E175" s="72"/>
      <c r="F175" s="72"/>
      <c r="G175" s="72"/>
      <c r="H175" s="29"/>
      <c r="I175" s="29"/>
      <c r="J175" s="72"/>
      <c r="K175" s="72"/>
      <c r="L175" s="72"/>
      <c r="M175" s="72"/>
      <c r="N175" s="72"/>
      <c r="O175" s="72"/>
      <c r="P175" s="72"/>
    </row>
    <row r="176" spans="1:16">
      <c r="A176" s="70"/>
      <c r="B176" s="167"/>
      <c r="C176" s="70"/>
      <c r="D176" s="71"/>
      <c r="E176" s="72"/>
      <c r="F176" s="72"/>
      <c r="G176" s="72"/>
      <c r="H176" s="29"/>
      <c r="I176" s="29"/>
      <c r="J176" s="72"/>
      <c r="K176" s="72"/>
      <c r="L176" s="72"/>
      <c r="M176" s="72"/>
      <c r="N176" s="72"/>
      <c r="O176" s="72"/>
      <c r="P176" s="72"/>
    </row>
    <row r="177" spans="1:16">
      <c r="A177" s="70"/>
      <c r="B177" s="167"/>
      <c r="C177" s="70"/>
      <c r="D177" s="71"/>
      <c r="E177" s="72"/>
      <c r="F177" s="72"/>
      <c r="G177" s="72"/>
      <c r="H177" s="29"/>
      <c r="I177" s="29"/>
      <c r="J177" s="72"/>
      <c r="K177" s="72"/>
      <c r="L177" s="72"/>
      <c r="M177" s="72"/>
      <c r="N177" s="72"/>
      <c r="O177" s="72"/>
      <c r="P177" s="72"/>
    </row>
    <row r="178" spans="1:16">
      <c r="A178" s="70"/>
      <c r="B178" s="167"/>
      <c r="C178" s="70"/>
      <c r="D178" s="71"/>
      <c r="E178" s="72"/>
      <c r="F178" s="72"/>
      <c r="G178" s="72"/>
      <c r="H178" s="29"/>
      <c r="I178" s="29"/>
      <c r="J178" s="72"/>
      <c r="K178" s="72"/>
      <c r="L178" s="72"/>
      <c r="M178" s="72"/>
      <c r="N178" s="72"/>
      <c r="O178" s="72"/>
      <c r="P178" s="72"/>
    </row>
    <row r="179" spans="1:16">
      <c r="A179" s="70"/>
      <c r="B179" s="167"/>
      <c r="C179" s="70"/>
      <c r="D179" s="71"/>
      <c r="E179" s="72"/>
      <c r="F179" s="72"/>
      <c r="G179" s="72"/>
      <c r="H179" s="29"/>
      <c r="I179" s="29"/>
      <c r="J179" s="72"/>
      <c r="K179" s="72"/>
      <c r="L179" s="72"/>
      <c r="M179" s="72"/>
      <c r="N179" s="72"/>
      <c r="O179" s="72"/>
      <c r="P179" s="72"/>
    </row>
    <row r="180" spans="1:16">
      <c r="A180" s="70"/>
      <c r="B180" s="167"/>
      <c r="C180" s="70"/>
      <c r="D180" s="71"/>
      <c r="E180" s="72"/>
      <c r="F180" s="72"/>
      <c r="G180" s="72"/>
      <c r="H180" s="29"/>
      <c r="I180" s="29"/>
      <c r="J180" s="72"/>
      <c r="K180" s="72"/>
      <c r="L180" s="72"/>
      <c r="M180" s="72"/>
      <c r="N180" s="72"/>
      <c r="O180" s="72"/>
      <c r="P180" s="72"/>
    </row>
    <row r="181" spans="1:16">
      <c r="A181" s="70"/>
      <c r="B181" s="167"/>
      <c r="C181" s="70"/>
      <c r="D181" s="71"/>
      <c r="E181" s="72"/>
      <c r="F181" s="72"/>
      <c r="G181" s="72"/>
      <c r="H181" s="29"/>
      <c r="I181" s="29"/>
      <c r="J181" s="72"/>
      <c r="K181" s="72"/>
      <c r="L181" s="72"/>
      <c r="M181" s="72"/>
      <c r="N181" s="72"/>
      <c r="O181" s="72"/>
      <c r="P181" s="72"/>
    </row>
    <row r="182" spans="1:16">
      <c r="A182" s="70"/>
      <c r="B182" s="167"/>
      <c r="C182" s="70"/>
      <c r="D182" s="71"/>
      <c r="E182" s="72"/>
      <c r="F182" s="72"/>
      <c r="G182" s="72"/>
      <c r="H182" s="29"/>
      <c r="I182" s="29"/>
      <c r="J182" s="72"/>
      <c r="K182" s="72"/>
      <c r="L182" s="72"/>
      <c r="M182" s="72"/>
      <c r="N182" s="72"/>
      <c r="O182" s="72"/>
      <c r="P182" s="72"/>
    </row>
    <row r="183" spans="1:16">
      <c r="A183" s="70"/>
      <c r="B183" s="167"/>
      <c r="C183" s="70"/>
      <c r="D183" s="71"/>
      <c r="E183" s="72"/>
      <c r="F183" s="72"/>
      <c r="G183" s="72"/>
      <c r="H183" s="29"/>
      <c r="I183" s="29"/>
      <c r="J183" s="72"/>
      <c r="K183" s="72"/>
      <c r="L183" s="72"/>
      <c r="M183" s="72"/>
      <c r="N183" s="72"/>
      <c r="O183" s="72"/>
      <c r="P183" s="72"/>
    </row>
    <row r="184" spans="1:16">
      <c r="A184" s="70"/>
      <c r="B184" s="167"/>
      <c r="C184" s="70"/>
      <c r="D184" s="71"/>
      <c r="E184" s="72"/>
      <c r="F184" s="72"/>
      <c r="G184" s="72"/>
      <c r="H184" s="29"/>
      <c r="I184" s="29"/>
      <c r="J184" s="72"/>
      <c r="K184" s="72"/>
      <c r="L184" s="72"/>
      <c r="M184" s="72"/>
      <c r="N184" s="72"/>
      <c r="O184" s="72"/>
      <c r="P184" s="72"/>
    </row>
    <row r="185" spans="1:16">
      <c r="A185" s="70"/>
      <c r="B185" s="167"/>
      <c r="C185" s="70"/>
      <c r="D185" s="71"/>
      <c r="E185" s="72"/>
      <c r="F185" s="72"/>
      <c r="G185" s="72"/>
      <c r="H185" s="29"/>
      <c r="I185" s="29"/>
      <c r="J185" s="72"/>
      <c r="K185" s="72"/>
      <c r="L185" s="72"/>
      <c r="M185" s="72"/>
      <c r="N185" s="72"/>
      <c r="O185" s="72"/>
      <c r="P185" s="72"/>
    </row>
    <row r="186" spans="1:16">
      <c r="A186" s="70"/>
      <c r="B186" s="167"/>
      <c r="C186" s="70"/>
      <c r="D186" s="71"/>
      <c r="E186" s="72"/>
      <c r="F186" s="72"/>
      <c r="G186" s="72"/>
      <c r="H186" s="29"/>
      <c r="I186" s="29"/>
      <c r="J186" s="72"/>
      <c r="K186" s="72"/>
      <c r="L186" s="72"/>
      <c r="M186" s="72"/>
      <c r="N186" s="72"/>
      <c r="O186" s="72"/>
      <c r="P186" s="72"/>
    </row>
    <row r="187" spans="1:16">
      <c r="A187" s="70"/>
      <c r="B187" s="167"/>
      <c r="C187" s="70"/>
      <c r="D187" s="71"/>
      <c r="E187" s="72"/>
      <c r="F187" s="72"/>
      <c r="G187" s="72"/>
      <c r="H187" s="29"/>
      <c r="I187" s="29"/>
      <c r="J187" s="72"/>
      <c r="K187" s="72"/>
      <c r="L187" s="72"/>
      <c r="M187" s="72"/>
      <c r="N187" s="72"/>
      <c r="O187" s="72"/>
      <c r="P187" s="72"/>
    </row>
    <row r="188" spans="1:16">
      <c r="A188" s="70"/>
      <c r="B188" s="167"/>
      <c r="C188" s="70"/>
      <c r="D188" s="71"/>
      <c r="E188" s="72"/>
      <c r="F188" s="72"/>
      <c r="G188" s="72"/>
      <c r="H188" s="29"/>
      <c r="I188" s="29"/>
      <c r="J188" s="72"/>
      <c r="K188" s="72"/>
      <c r="L188" s="72"/>
      <c r="M188" s="72"/>
      <c r="N188" s="72"/>
      <c r="O188" s="72"/>
      <c r="P188" s="72"/>
    </row>
    <row r="189" spans="1:16">
      <c r="A189" s="70"/>
      <c r="B189" s="167"/>
      <c r="C189" s="70"/>
      <c r="D189" s="71"/>
      <c r="E189" s="72"/>
      <c r="F189" s="72"/>
      <c r="G189" s="72"/>
      <c r="H189" s="29"/>
      <c r="I189" s="29"/>
      <c r="J189" s="72"/>
      <c r="K189" s="72"/>
      <c r="L189" s="72"/>
      <c r="M189" s="72"/>
      <c r="N189" s="72"/>
      <c r="O189" s="72"/>
      <c r="P189" s="72"/>
    </row>
    <row r="190" spans="1:16">
      <c r="A190" s="70"/>
      <c r="B190" s="167"/>
      <c r="C190" s="70"/>
      <c r="D190" s="71"/>
      <c r="E190" s="72"/>
      <c r="F190" s="72"/>
      <c r="G190" s="72"/>
      <c r="H190" s="29"/>
      <c r="I190" s="29"/>
      <c r="J190" s="72"/>
      <c r="K190" s="72"/>
      <c r="L190" s="72"/>
      <c r="M190" s="72"/>
      <c r="N190" s="72"/>
      <c r="O190" s="72"/>
      <c r="P190" s="72"/>
    </row>
    <row r="191" spans="1:16">
      <c r="A191" s="70"/>
      <c r="B191" s="167"/>
      <c r="C191" s="70"/>
      <c r="D191" s="71"/>
      <c r="E191" s="72"/>
      <c r="F191" s="72"/>
      <c r="G191" s="72"/>
      <c r="H191" s="29"/>
      <c r="I191" s="29"/>
      <c r="J191" s="72"/>
      <c r="K191" s="72"/>
      <c r="L191" s="72"/>
      <c r="M191" s="72"/>
      <c r="N191" s="72"/>
      <c r="O191" s="72"/>
      <c r="P191" s="72"/>
    </row>
    <row r="192" spans="1:16">
      <c r="A192" s="70"/>
      <c r="B192" s="167"/>
      <c r="C192" s="70"/>
      <c r="D192" s="71"/>
      <c r="E192" s="72"/>
      <c r="F192" s="72"/>
      <c r="G192" s="72"/>
      <c r="H192" s="29"/>
      <c r="I192" s="29"/>
      <c r="J192" s="72"/>
      <c r="K192" s="72"/>
      <c r="L192" s="72"/>
      <c r="M192" s="72"/>
      <c r="N192" s="72"/>
      <c r="O192" s="72"/>
      <c r="P192" s="72"/>
    </row>
    <row r="193" spans="1:16">
      <c r="A193" s="70"/>
      <c r="B193" s="167"/>
      <c r="C193" s="70"/>
      <c r="D193" s="71"/>
      <c r="E193" s="72"/>
      <c r="F193" s="72"/>
      <c r="G193" s="72"/>
      <c r="H193" s="29"/>
      <c r="I193" s="29"/>
      <c r="J193" s="72"/>
      <c r="K193" s="72"/>
      <c r="L193" s="72"/>
      <c r="M193" s="72"/>
      <c r="N193" s="72"/>
      <c r="O193" s="72"/>
      <c r="P193" s="72"/>
    </row>
    <row r="194" spans="1:16">
      <c r="A194" s="70"/>
      <c r="B194" s="167"/>
      <c r="C194" s="70"/>
      <c r="D194" s="71"/>
      <c r="E194" s="72"/>
      <c r="F194" s="72"/>
      <c r="G194" s="72"/>
      <c r="H194" s="29"/>
      <c r="I194" s="29"/>
      <c r="J194" s="72"/>
      <c r="K194" s="72"/>
      <c r="L194" s="72"/>
      <c r="M194" s="72"/>
      <c r="N194" s="72"/>
      <c r="O194" s="72"/>
      <c r="P194" s="72"/>
    </row>
    <row r="195" spans="1:16">
      <c r="A195" s="70"/>
      <c r="B195" s="167"/>
      <c r="C195" s="70"/>
      <c r="D195" s="71"/>
      <c r="E195" s="72"/>
      <c r="F195" s="72"/>
      <c r="G195" s="72"/>
      <c r="H195" s="29"/>
      <c r="I195" s="29"/>
      <c r="J195" s="72"/>
      <c r="K195" s="72"/>
      <c r="L195" s="72"/>
      <c r="M195" s="72"/>
      <c r="N195" s="72"/>
      <c r="O195" s="72"/>
      <c r="P195" s="72"/>
    </row>
    <row r="196" spans="1:16">
      <c r="A196" s="70"/>
      <c r="B196" s="167"/>
      <c r="C196" s="70"/>
      <c r="D196" s="71"/>
      <c r="E196" s="72"/>
      <c r="F196" s="72"/>
      <c r="G196" s="72"/>
      <c r="H196" s="29"/>
      <c r="I196" s="29"/>
      <c r="J196" s="72"/>
      <c r="K196" s="72"/>
      <c r="L196" s="72"/>
      <c r="M196" s="72"/>
      <c r="N196" s="72"/>
      <c r="O196" s="72"/>
      <c r="P196" s="72"/>
    </row>
    <row r="197" spans="1:16">
      <c r="A197" s="70"/>
      <c r="B197" s="167"/>
      <c r="C197" s="70"/>
      <c r="D197" s="71"/>
      <c r="E197" s="72"/>
      <c r="F197" s="72"/>
      <c r="G197" s="72"/>
      <c r="H197" s="29"/>
      <c r="I197" s="29"/>
      <c r="J197" s="72"/>
      <c r="K197" s="72"/>
      <c r="L197" s="72"/>
      <c r="M197" s="72"/>
      <c r="N197" s="72"/>
      <c r="O197" s="72"/>
      <c r="P197" s="72"/>
    </row>
    <row r="198" spans="1:16">
      <c r="A198" s="70"/>
      <c r="B198" s="167"/>
      <c r="C198" s="70"/>
      <c r="D198" s="71"/>
      <c r="E198" s="72"/>
      <c r="F198" s="72"/>
      <c r="G198" s="72"/>
      <c r="H198" s="29"/>
      <c r="I198" s="29"/>
      <c r="J198" s="72"/>
      <c r="K198" s="72"/>
      <c r="L198" s="72"/>
      <c r="M198" s="72"/>
      <c r="N198" s="72"/>
      <c r="O198" s="72"/>
      <c r="P198" s="72"/>
    </row>
    <row r="199" spans="1:16">
      <c r="A199" s="70"/>
      <c r="B199" s="167"/>
      <c r="C199" s="70"/>
      <c r="D199" s="71"/>
      <c r="E199" s="72"/>
      <c r="F199" s="72"/>
      <c r="G199" s="72"/>
      <c r="H199" s="29"/>
      <c r="I199" s="29"/>
      <c r="J199" s="72"/>
      <c r="K199" s="72"/>
      <c r="L199" s="72"/>
      <c r="M199" s="72"/>
      <c r="N199" s="72"/>
      <c r="O199" s="72"/>
      <c r="P199" s="72"/>
    </row>
    <row r="200" spans="1:16">
      <c r="A200" s="70"/>
      <c r="B200" s="167"/>
      <c r="C200" s="70"/>
      <c r="D200" s="71"/>
      <c r="E200" s="72"/>
      <c r="F200" s="72"/>
      <c r="G200" s="72"/>
      <c r="H200" s="29"/>
      <c r="I200" s="29"/>
      <c r="J200" s="72"/>
      <c r="K200" s="72"/>
      <c r="L200" s="72"/>
      <c r="M200" s="72"/>
      <c r="N200" s="72"/>
      <c r="O200" s="72"/>
      <c r="P200" s="72"/>
    </row>
    <row r="201" spans="1:16">
      <c r="A201" s="70"/>
      <c r="B201" s="167"/>
      <c r="C201" s="70"/>
      <c r="D201" s="71"/>
      <c r="E201" s="72"/>
      <c r="F201" s="72"/>
      <c r="G201" s="72"/>
      <c r="H201" s="29"/>
      <c r="I201" s="29"/>
      <c r="J201" s="72"/>
      <c r="K201" s="72"/>
      <c r="L201" s="72"/>
      <c r="M201" s="72"/>
      <c r="N201" s="72"/>
      <c r="O201" s="72"/>
      <c r="P201" s="72"/>
    </row>
    <row r="202" spans="1:16">
      <c r="A202" s="70"/>
      <c r="B202" s="167"/>
      <c r="C202" s="70"/>
      <c r="D202" s="71"/>
      <c r="E202" s="72"/>
      <c r="F202" s="72"/>
      <c r="G202" s="72"/>
      <c r="H202" s="29"/>
      <c r="I202" s="29"/>
      <c r="J202" s="72"/>
      <c r="K202" s="72"/>
      <c r="L202" s="72"/>
      <c r="M202" s="72"/>
      <c r="N202" s="72"/>
      <c r="O202" s="72"/>
      <c r="P202" s="72"/>
    </row>
    <row r="203" spans="1:16">
      <c r="A203" s="70"/>
      <c r="B203" s="167"/>
      <c r="C203" s="70"/>
      <c r="D203" s="71"/>
      <c r="E203" s="72"/>
      <c r="F203" s="72"/>
      <c r="G203" s="72"/>
      <c r="H203" s="29"/>
      <c r="I203" s="29"/>
      <c r="J203" s="72"/>
      <c r="K203" s="72"/>
      <c r="L203" s="72"/>
      <c r="M203" s="72"/>
      <c r="N203" s="72"/>
      <c r="O203" s="72"/>
      <c r="P203" s="72"/>
    </row>
    <row r="204" spans="1:16">
      <c r="A204" s="70"/>
      <c r="B204" s="167"/>
      <c r="C204" s="70"/>
      <c r="D204" s="71"/>
      <c r="E204" s="72"/>
      <c r="F204" s="72"/>
      <c r="G204" s="72"/>
      <c r="H204" s="29"/>
      <c r="I204" s="29"/>
      <c r="J204" s="72"/>
      <c r="K204" s="72"/>
      <c r="L204" s="72"/>
      <c r="M204" s="72"/>
      <c r="N204" s="72"/>
      <c r="O204" s="72"/>
      <c r="P204" s="72"/>
    </row>
    <row r="205" spans="1:16">
      <c r="A205" s="70"/>
      <c r="B205" s="167"/>
      <c r="C205" s="70"/>
      <c r="D205" s="71"/>
      <c r="E205" s="72"/>
      <c r="F205" s="72"/>
      <c r="G205" s="72"/>
      <c r="H205" s="29"/>
      <c r="I205" s="29"/>
      <c r="J205" s="72"/>
      <c r="K205" s="72"/>
      <c r="L205" s="72"/>
      <c r="M205" s="72"/>
      <c r="N205" s="72"/>
      <c r="O205" s="72"/>
      <c r="P205" s="72"/>
    </row>
    <row r="206" spans="1:16">
      <c r="A206" s="70"/>
      <c r="B206" s="167"/>
      <c r="C206" s="70"/>
      <c r="D206" s="71"/>
      <c r="E206" s="72"/>
      <c r="F206" s="72"/>
      <c r="G206" s="72"/>
      <c r="H206" s="29"/>
      <c r="I206" s="29"/>
      <c r="J206" s="72"/>
      <c r="K206" s="72"/>
      <c r="L206" s="72"/>
      <c r="M206" s="72"/>
      <c r="N206" s="72"/>
      <c r="O206" s="72"/>
      <c r="P206" s="72"/>
    </row>
    <row r="207" spans="1:16">
      <c r="A207" s="70"/>
      <c r="B207" s="167"/>
      <c r="C207" s="70"/>
      <c r="D207" s="71"/>
      <c r="E207" s="72"/>
      <c r="F207" s="72"/>
      <c r="G207" s="72"/>
      <c r="H207" s="29"/>
      <c r="I207" s="29"/>
      <c r="J207" s="72"/>
      <c r="K207" s="72"/>
      <c r="L207" s="72"/>
      <c r="M207" s="72"/>
      <c r="N207" s="72"/>
      <c r="O207" s="72"/>
      <c r="P207" s="72"/>
    </row>
    <row r="208" spans="1:16">
      <c r="A208" s="70"/>
      <c r="B208" s="167"/>
      <c r="C208" s="70"/>
      <c r="D208" s="71"/>
      <c r="E208" s="72"/>
      <c r="F208" s="72"/>
      <c r="G208" s="72"/>
      <c r="H208" s="29"/>
      <c r="I208" s="29"/>
      <c r="J208" s="72"/>
      <c r="K208" s="72"/>
      <c r="L208" s="72"/>
      <c r="M208" s="72"/>
      <c r="N208" s="72"/>
      <c r="O208" s="72"/>
      <c r="P208" s="72"/>
    </row>
    <row r="209" spans="1:16">
      <c r="A209" s="70"/>
      <c r="B209" s="167"/>
      <c r="C209" s="70"/>
      <c r="D209" s="71"/>
      <c r="E209" s="72"/>
      <c r="F209" s="72"/>
      <c r="G209" s="72"/>
      <c r="H209" s="29"/>
      <c r="I209" s="29"/>
      <c r="J209" s="72"/>
      <c r="K209" s="72"/>
      <c r="L209" s="72"/>
      <c r="M209" s="72"/>
      <c r="N209" s="72"/>
      <c r="O209" s="72"/>
      <c r="P209" s="72"/>
    </row>
    <row r="210" spans="1:16">
      <c r="A210" s="70"/>
      <c r="B210" s="167"/>
      <c r="C210" s="70"/>
      <c r="D210" s="71"/>
      <c r="E210" s="72"/>
      <c r="F210" s="72"/>
      <c r="G210" s="72"/>
      <c r="H210" s="29"/>
      <c r="I210" s="29"/>
      <c r="J210" s="72"/>
      <c r="K210" s="72"/>
      <c r="L210" s="72"/>
      <c r="M210" s="72"/>
      <c r="N210" s="72"/>
      <c r="O210" s="72"/>
      <c r="P210" s="72"/>
    </row>
    <row r="211" spans="1:16">
      <c r="A211" s="70"/>
      <c r="B211" s="167"/>
      <c r="C211" s="70"/>
      <c r="D211" s="71"/>
      <c r="E211" s="72"/>
      <c r="F211" s="72"/>
      <c r="G211" s="72"/>
      <c r="H211" s="29"/>
      <c r="I211" s="29"/>
      <c r="J211" s="72"/>
      <c r="K211" s="72"/>
      <c r="L211" s="72"/>
      <c r="M211" s="72"/>
      <c r="N211" s="72"/>
      <c r="O211" s="72"/>
      <c r="P211" s="72"/>
    </row>
    <row r="212" spans="1:16">
      <c r="A212" s="70"/>
      <c r="B212" s="167"/>
      <c r="C212" s="70"/>
      <c r="D212" s="71"/>
      <c r="E212" s="72"/>
      <c r="F212" s="72"/>
      <c r="G212" s="72"/>
      <c r="H212" s="29"/>
      <c r="I212" s="29"/>
      <c r="J212" s="72"/>
      <c r="K212" s="72"/>
      <c r="L212" s="72"/>
      <c r="M212" s="72"/>
      <c r="N212" s="72"/>
      <c r="O212" s="72"/>
      <c r="P212" s="72"/>
    </row>
    <row r="213" spans="1:16">
      <c r="A213" s="70"/>
      <c r="B213" s="167"/>
      <c r="C213" s="70"/>
      <c r="D213" s="71"/>
      <c r="E213" s="72"/>
      <c r="F213" s="72"/>
      <c r="G213" s="72"/>
      <c r="H213" s="29"/>
      <c r="I213" s="29"/>
      <c r="J213" s="72"/>
      <c r="K213" s="72"/>
      <c r="L213" s="72"/>
      <c r="M213" s="72"/>
      <c r="N213" s="72"/>
      <c r="O213" s="72"/>
      <c r="P213" s="72"/>
    </row>
    <row r="214" spans="1:16">
      <c r="A214" s="70"/>
      <c r="B214" s="167"/>
      <c r="C214" s="70"/>
      <c r="D214" s="71"/>
      <c r="E214" s="72"/>
      <c r="F214" s="72"/>
      <c r="G214" s="72"/>
      <c r="H214" s="29"/>
      <c r="I214" s="29"/>
      <c r="J214" s="72"/>
      <c r="K214" s="72"/>
      <c r="L214" s="72"/>
      <c r="M214" s="72"/>
      <c r="N214" s="72"/>
      <c r="O214" s="72"/>
      <c r="P214" s="72"/>
    </row>
    <row r="215" spans="1:16">
      <c r="A215" s="70"/>
      <c r="B215" s="167"/>
      <c r="C215" s="70"/>
      <c r="D215" s="71"/>
      <c r="E215" s="72"/>
      <c r="F215" s="72"/>
      <c r="G215" s="72"/>
      <c r="H215" s="29"/>
      <c r="I215" s="29"/>
      <c r="J215" s="72"/>
      <c r="K215" s="72"/>
      <c r="L215" s="72"/>
      <c r="M215" s="72"/>
      <c r="N215" s="72"/>
      <c r="O215" s="72"/>
      <c r="P215" s="72"/>
    </row>
    <row r="216" spans="1:16">
      <c r="A216" s="70"/>
      <c r="B216" s="167"/>
      <c r="C216" s="70"/>
      <c r="D216" s="71"/>
      <c r="E216" s="72"/>
      <c r="F216" s="72"/>
      <c r="G216" s="72"/>
      <c r="H216" s="29"/>
      <c r="I216" s="29"/>
      <c r="J216" s="72"/>
      <c r="K216" s="72"/>
      <c r="L216" s="72"/>
      <c r="M216" s="72"/>
      <c r="N216" s="72"/>
      <c r="O216" s="72"/>
      <c r="P216" s="72"/>
    </row>
    <row r="217" spans="1:16">
      <c r="A217" s="70"/>
      <c r="B217" s="167"/>
      <c r="C217" s="70"/>
      <c r="D217" s="71"/>
      <c r="E217" s="72"/>
      <c r="F217" s="72"/>
      <c r="G217" s="72"/>
      <c r="H217" s="29"/>
      <c r="I217" s="29"/>
      <c r="J217" s="72"/>
      <c r="K217" s="72"/>
      <c r="L217" s="72"/>
      <c r="M217" s="72"/>
      <c r="N217" s="72"/>
      <c r="O217" s="72"/>
      <c r="P217" s="72"/>
    </row>
    <row r="218" spans="1:16">
      <c r="A218" s="70"/>
      <c r="B218" s="167"/>
      <c r="C218" s="70"/>
      <c r="D218" s="71"/>
      <c r="E218" s="72"/>
      <c r="F218" s="72"/>
      <c r="G218" s="72"/>
      <c r="H218" s="29"/>
      <c r="I218" s="29"/>
      <c r="J218" s="72"/>
      <c r="K218" s="72"/>
      <c r="L218" s="72"/>
      <c r="M218" s="72"/>
      <c r="N218" s="72"/>
      <c r="O218" s="72"/>
      <c r="P218" s="72"/>
    </row>
    <row r="219" spans="1:16">
      <c r="A219" s="70"/>
      <c r="B219" s="167"/>
      <c r="C219" s="70"/>
      <c r="D219" s="71"/>
      <c r="E219" s="72"/>
      <c r="F219" s="72"/>
      <c r="G219" s="72"/>
      <c r="H219" s="29"/>
      <c r="I219" s="29"/>
      <c r="J219" s="72"/>
      <c r="K219" s="72"/>
      <c r="L219" s="72"/>
      <c r="M219" s="72"/>
      <c r="N219" s="72"/>
      <c r="O219" s="72"/>
      <c r="P219" s="72"/>
    </row>
    <row r="220" spans="1:16">
      <c r="A220" s="70"/>
      <c r="B220" s="167"/>
      <c r="C220" s="70"/>
      <c r="D220" s="71"/>
      <c r="E220" s="72"/>
      <c r="F220" s="72"/>
      <c r="G220" s="72"/>
      <c r="H220" s="29"/>
      <c r="I220" s="29"/>
      <c r="J220" s="72"/>
      <c r="K220" s="72"/>
      <c r="L220" s="72"/>
      <c r="M220" s="72"/>
      <c r="N220" s="72"/>
      <c r="O220" s="72"/>
      <c r="P220" s="72"/>
    </row>
    <row r="221" spans="1:16">
      <c r="A221" s="70"/>
      <c r="B221" s="167"/>
      <c r="C221" s="70"/>
      <c r="D221" s="71"/>
      <c r="E221" s="72"/>
      <c r="F221" s="72"/>
      <c r="G221" s="72"/>
      <c r="H221" s="29"/>
      <c r="I221" s="29"/>
      <c r="J221" s="72"/>
      <c r="K221" s="72"/>
      <c r="L221" s="72"/>
      <c r="M221" s="72"/>
      <c r="N221" s="72"/>
      <c r="O221" s="72"/>
      <c r="P221" s="72"/>
    </row>
    <row r="222" spans="1:16">
      <c r="A222" s="70"/>
      <c r="B222" s="167"/>
      <c r="C222" s="70"/>
      <c r="D222" s="71"/>
      <c r="E222" s="72"/>
      <c r="F222" s="72"/>
      <c r="G222" s="72"/>
      <c r="H222" s="29"/>
      <c r="I222" s="29"/>
      <c r="J222" s="72"/>
      <c r="K222" s="72"/>
      <c r="L222" s="72"/>
      <c r="M222" s="72"/>
      <c r="N222" s="72"/>
      <c r="O222" s="72"/>
      <c r="P222" s="72"/>
    </row>
    <row r="223" spans="1:16">
      <c r="A223" s="70"/>
      <c r="B223" s="167"/>
      <c r="C223" s="70"/>
      <c r="D223" s="71"/>
      <c r="E223" s="72"/>
      <c r="F223" s="72"/>
      <c r="G223" s="72"/>
      <c r="H223" s="29"/>
      <c r="I223" s="29"/>
      <c r="J223" s="72"/>
      <c r="K223" s="72"/>
      <c r="L223" s="72"/>
      <c r="M223" s="72"/>
      <c r="N223" s="72"/>
      <c r="O223" s="72"/>
      <c r="P223" s="72"/>
    </row>
    <row r="224" spans="1:16">
      <c r="A224" s="70"/>
      <c r="B224" s="167"/>
      <c r="C224" s="70"/>
      <c r="D224" s="71"/>
      <c r="E224" s="72"/>
      <c r="F224" s="72"/>
      <c r="G224" s="72"/>
      <c r="H224" s="29"/>
      <c r="I224" s="29"/>
      <c r="J224" s="72"/>
      <c r="K224" s="72"/>
      <c r="L224" s="72"/>
      <c r="M224" s="72"/>
      <c r="N224" s="72"/>
      <c r="O224" s="72"/>
      <c r="P224" s="72"/>
    </row>
    <row r="225" spans="1:16">
      <c r="A225" s="70"/>
      <c r="B225" s="167"/>
      <c r="C225" s="70"/>
      <c r="D225" s="71"/>
      <c r="E225" s="72"/>
      <c r="F225" s="72"/>
      <c r="G225" s="72"/>
      <c r="H225" s="29"/>
      <c r="I225" s="29"/>
      <c r="J225" s="72"/>
      <c r="K225" s="72"/>
      <c r="L225" s="72"/>
      <c r="M225" s="72"/>
      <c r="N225" s="72"/>
      <c r="O225" s="72"/>
      <c r="P225" s="72"/>
    </row>
    <row r="226" spans="1:16">
      <c r="A226" s="70"/>
      <c r="B226" s="167"/>
      <c r="C226" s="70"/>
      <c r="D226" s="71"/>
      <c r="E226" s="72"/>
      <c r="F226" s="72"/>
      <c r="G226" s="72"/>
      <c r="H226" s="29"/>
      <c r="I226" s="29"/>
      <c r="J226" s="72"/>
      <c r="K226" s="72"/>
      <c r="L226" s="72"/>
      <c r="M226" s="72"/>
      <c r="N226" s="72"/>
      <c r="O226" s="72"/>
      <c r="P226" s="72"/>
    </row>
    <row r="227" spans="1:16">
      <c r="A227" s="70"/>
      <c r="B227" s="167"/>
      <c r="C227" s="70"/>
      <c r="D227" s="71"/>
      <c r="E227" s="72"/>
      <c r="F227" s="72"/>
      <c r="G227" s="72"/>
      <c r="H227" s="29"/>
      <c r="I227" s="29"/>
      <c r="J227" s="72"/>
      <c r="K227" s="72"/>
      <c r="L227" s="72"/>
      <c r="M227" s="72"/>
      <c r="N227" s="72"/>
      <c r="O227" s="72"/>
      <c r="P227" s="72"/>
    </row>
    <row r="228" spans="1:16">
      <c r="A228" s="70"/>
      <c r="B228" s="167"/>
      <c r="C228" s="70"/>
      <c r="D228" s="71"/>
      <c r="E228" s="72"/>
      <c r="F228" s="72"/>
      <c r="G228" s="72"/>
      <c r="H228" s="29"/>
      <c r="I228" s="29"/>
      <c r="J228" s="72"/>
      <c r="K228" s="72"/>
      <c r="L228" s="72"/>
      <c r="M228" s="72"/>
      <c r="N228" s="72"/>
      <c r="O228" s="72"/>
      <c r="P228" s="72"/>
    </row>
    <row r="229" spans="1:16">
      <c r="A229" s="70"/>
      <c r="B229" s="167"/>
      <c r="C229" s="70"/>
      <c r="D229" s="71"/>
      <c r="E229" s="72"/>
      <c r="F229" s="72"/>
      <c r="G229" s="72"/>
      <c r="H229" s="29"/>
      <c r="I229" s="29"/>
      <c r="J229" s="72"/>
      <c r="K229" s="72"/>
      <c r="L229" s="72"/>
      <c r="M229" s="72"/>
      <c r="N229" s="72"/>
      <c r="O229" s="72"/>
      <c r="P229" s="72"/>
    </row>
    <row r="230" spans="1:16">
      <c r="A230" s="70"/>
      <c r="B230" s="167"/>
      <c r="C230" s="70"/>
      <c r="D230" s="71"/>
      <c r="E230" s="72"/>
      <c r="F230" s="72"/>
      <c r="G230" s="72"/>
      <c r="H230" s="29"/>
      <c r="I230" s="29"/>
      <c r="J230" s="72"/>
      <c r="K230" s="72"/>
      <c r="L230" s="72"/>
      <c r="M230" s="72"/>
      <c r="N230" s="72"/>
      <c r="O230" s="72"/>
      <c r="P230" s="72"/>
    </row>
    <row r="231" spans="1:16">
      <c r="A231" s="70"/>
      <c r="B231" s="167"/>
      <c r="C231" s="70"/>
      <c r="D231" s="71"/>
      <c r="E231" s="72"/>
      <c r="F231" s="72"/>
      <c r="G231" s="72"/>
      <c r="H231" s="29"/>
      <c r="I231" s="29"/>
      <c r="J231" s="72"/>
      <c r="K231" s="72"/>
      <c r="L231" s="72"/>
      <c r="M231" s="72"/>
      <c r="N231" s="72"/>
      <c r="O231" s="72"/>
      <c r="P231" s="72"/>
    </row>
    <row r="232" spans="1:16">
      <c r="A232" s="70"/>
      <c r="B232" s="167"/>
      <c r="C232" s="70"/>
      <c r="D232" s="71"/>
      <c r="E232" s="72"/>
      <c r="F232" s="72"/>
      <c r="G232" s="72"/>
      <c r="H232" s="29"/>
      <c r="I232" s="29"/>
      <c r="J232" s="72"/>
      <c r="K232" s="72"/>
      <c r="L232" s="72"/>
      <c r="M232" s="72"/>
      <c r="N232" s="72"/>
      <c r="O232" s="72"/>
      <c r="P232" s="72"/>
    </row>
    <row r="233" spans="1:16">
      <c r="A233" s="70"/>
      <c r="B233" s="167"/>
      <c r="C233" s="70"/>
      <c r="D233" s="71"/>
      <c r="E233" s="72"/>
      <c r="F233" s="72"/>
      <c r="G233" s="72"/>
      <c r="H233" s="29"/>
      <c r="I233" s="29"/>
      <c r="J233" s="72"/>
      <c r="K233" s="72"/>
      <c r="L233" s="72"/>
      <c r="M233" s="72"/>
      <c r="N233" s="72"/>
      <c r="O233" s="72"/>
      <c r="P233" s="72"/>
    </row>
    <row r="234" spans="1:16">
      <c r="A234" s="70"/>
      <c r="B234" s="167"/>
      <c r="C234" s="70"/>
      <c r="D234" s="71"/>
      <c r="E234" s="72"/>
      <c r="F234" s="72"/>
      <c r="G234" s="72"/>
      <c r="H234" s="29"/>
      <c r="I234" s="29"/>
      <c r="J234" s="72"/>
      <c r="K234" s="72"/>
      <c r="L234" s="72"/>
      <c r="M234" s="72"/>
      <c r="N234" s="72"/>
      <c r="O234" s="72"/>
      <c r="P234" s="72"/>
    </row>
    <row r="235" spans="1:16">
      <c r="A235" s="70"/>
      <c r="B235" s="167"/>
      <c r="C235" s="70"/>
      <c r="D235" s="71"/>
      <c r="E235" s="72"/>
      <c r="F235" s="72"/>
      <c r="G235" s="72"/>
      <c r="H235" s="29"/>
      <c r="I235" s="29"/>
      <c r="J235" s="72"/>
      <c r="K235" s="72"/>
      <c r="L235" s="72"/>
      <c r="M235" s="72"/>
      <c r="N235" s="72"/>
      <c r="O235" s="72"/>
      <c r="P235" s="72"/>
    </row>
    <row r="236" spans="1:16">
      <c r="A236" s="70"/>
      <c r="B236" s="167"/>
      <c r="C236" s="70"/>
      <c r="D236" s="71"/>
      <c r="E236" s="72"/>
      <c r="F236" s="72"/>
      <c r="G236" s="72"/>
      <c r="H236" s="29"/>
      <c r="I236" s="29"/>
      <c r="J236" s="72"/>
      <c r="K236" s="72"/>
      <c r="L236" s="72"/>
      <c r="M236" s="72"/>
      <c r="N236" s="72"/>
      <c r="O236" s="72"/>
      <c r="P236" s="72"/>
    </row>
    <row r="237" spans="1:16">
      <c r="A237" s="70"/>
      <c r="B237" s="167"/>
      <c r="C237" s="70"/>
      <c r="D237" s="71"/>
      <c r="E237" s="72"/>
      <c r="F237" s="72"/>
      <c r="G237" s="72"/>
      <c r="H237" s="29"/>
      <c r="I237" s="29"/>
      <c r="J237" s="72"/>
      <c r="K237" s="72"/>
      <c r="L237" s="72"/>
      <c r="M237" s="72"/>
      <c r="N237" s="72"/>
      <c r="O237" s="72"/>
      <c r="P237" s="72"/>
    </row>
    <row r="238" spans="1:16">
      <c r="A238" s="70"/>
      <c r="B238" s="167"/>
      <c r="C238" s="70"/>
      <c r="D238" s="71"/>
      <c r="E238" s="72"/>
      <c r="F238" s="72"/>
      <c r="G238" s="72"/>
      <c r="H238" s="29"/>
      <c r="I238" s="29"/>
      <c r="J238" s="72"/>
      <c r="K238" s="72"/>
      <c r="L238" s="72"/>
      <c r="M238" s="72"/>
      <c r="N238" s="72"/>
      <c r="O238" s="72"/>
      <c r="P238" s="72"/>
    </row>
    <row r="239" spans="1:16">
      <c r="A239" s="70"/>
      <c r="B239" s="167"/>
      <c r="C239" s="70"/>
      <c r="D239" s="71"/>
      <c r="E239" s="72"/>
      <c r="F239" s="72"/>
      <c r="G239" s="72"/>
      <c r="H239" s="29"/>
      <c r="I239" s="29"/>
      <c r="J239" s="72"/>
      <c r="K239" s="72"/>
      <c r="L239" s="72"/>
      <c r="M239" s="72"/>
      <c r="N239" s="72"/>
      <c r="O239" s="72"/>
      <c r="P239" s="72"/>
    </row>
    <row r="240" spans="1:16">
      <c r="A240" s="70"/>
      <c r="B240" s="167"/>
      <c r="C240" s="70"/>
      <c r="D240" s="71"/>
      <c r="E240" s="72"/>
      <c r="F240" s="72"/>
      <c r="G240" s="72"/>
      <c r="H240" s="29"/>
      <c r="I240" s="29"/>
      <c r="J240" s="72"/>
      <c r="K240" s="72"/>
      <c r="L240" s="72"/>
      <c r="M240" s="72"/>
      <c r="N240" s="72"/>
      <c r="O240" s="72"/>
      <c r="P240" s="72"/>
    </row>
    <row r="241" spans="1:16">
      <c r="A241" s="70"/>
      <c r="B241" s="167"/>
      <c r="C241" s="70"/>
      <c r="D241" s="71"/>
      <c r="E241" s="72"/>
      <c r="F241" s="72"/>
      <c r="G241" s="72"/>
      <c r="H241" s="29"/>
      <c r="I241" s="29"/>
      <c r="J241" s="72"/>
      <c r="K241" s="72"/>
      <c r="L241" s="72"/>
      <c r="M241" s="72"/>
      <c r="N241" s="72"/>
      <c r="O241" s="72"/>
      <c r="P241" s="72"/>
    </row>
    <row r="242" spans="1:16">
      <c r="A242" s="70"/>
      <c r="B242" s="167"/>
      <c r="C242" s="70"/>
      <c r="D242" s="71"/>
      <c r="E242" s="72"/>
      <c r="F242" s="72"/>
      <c r="G242" s="72"/>
      <c r="H242" s="29"/>
      <c r="I242" s="29"/>
      <c r="J242" s="72"/>
      <c r="K242" s="72"/>
      <c r="L242" s="72"/>
      <c r="M242" s="72"/>
      <c r="N242" s="72"/>
      <c r="O242" s="72"/>
      <c r="P242" s="72"/>
    </row>
    <row r="243" spans="1:16">
      <c r="A243" s="70"/>
      <c r="B243" s="167"/>
      <c r="C243" s="70"/>
      <c r="D243" s="71"/>
      <c r="E243" s="72"/>
      <c r="F243" s="72"/>
      <c r="G243" s="72"/>
      <c r="H243" s="29"/>
      <c r="I243" s="29"/>
      <c r="J243" s="72"/>
      <c r="K243" s="72"/>
      <c r="L243" s="72"/>
      <c r="M243" s="72"/>
      <c r="N243" s="72"/>
      <c r="O243" s="72"/>
      <c r="P243" s="72"/>
    </row>
    <row r="244" spans="1:16">
      <c r="A244" s="70"/>
      <c r="B244" s="167"/>
      <c r="C244" s="70"/>
      <c r="D244" s="71"/>
      <c r="E244" s="72"/>
      <c r="F244" s="72"/>
      <c r="G244" s="72"/>
      <c r="H244" s="29"/>
      <c r="I244" s="29"/>
      <c r="J244" s="72"/>
      <c r="K244" s="72"/>
      <c r="L244" s="72"/>
      <c r="M244" s="72"/>
      <c r="N244" s="72"/>
      <c r="O244" s="72"/>
      <c r="P244" s="72"/>
    </row>
    <row r="245" spans="1:16">
      <c r="A245" s="70"/>
      <c r="B245" s="167"/>
      <c r="C245" s="70"/>
      <c r="D245" s="71"/>
      <c r="E245" s="72"/>
      <c r="F245" s="72"/>
      <c r="G245" s="72"/>
      <c r="H245" s="29"/>
      <c r="I245" s="29"/>
      <c r="J245" s="72"/>
      <c r="K245" s="72"/>
      <c r="L245" s="72"/>
      <c r="M245" s="72"/>
      <c r="N245" s="72"/>
      <c r="O245" s="72"/>
      <c r="P245" s="72"/>
    </row>
    <row r="246" spans="1:16">
      <c r="A246" s="70"/>
      <c r="B246" s="167"/>
      <c r="C246" s="70"/>
      <c r="D246" s="71"/>
      <c r="E246" s="72"/>
      <c r="F246" s="72"/>
      <c r="G246" s="72"/>
      <c r="H246" s="29"/>
      <c r="I246" s="29"/>
      <c r="J246" s="72"/>
      <c r="K246" s="72"/>
      <c r="L246" s="72"/>
      <c r="M246" s="72"/>
      <c r="N246" s="72"/>
      <c r="O246" s="72"/>
      <c r="P246" s="72"/>
    </row>
    <row r="247" spans="1:16">
      <c r="A247" s="70"/>
      <c r="B247" s="167"/>
      <c r="C247" s="70"/>
      <c r="D247" s="71"/>
      <c r="E247" s="72"/>
      <c r="F247" s="72"/>
      <c r="G247" s="72"/>
      <c r="H247" s="29"/>
      <c r="I247" s="29"/>
      <c r="J247" s="72"/>
      <c r="K247" s="72"/>
      <c r="L247" s="72"/>
      <c r="M247" s="72"/>
      <c r="N247" s="72"/>
      <c r="O247" s="72"/>
      <c r="P247" s="72"/>
    </row>
    <row r="248" spans="1:16">
      <c r="A248" s="70"/>
      <c r="B248" s="167"/>
      <c r="C248" s="70"/>
      <c r="D248" s="71"/>
      <c r="E248" s="72"/>
      <c r="F248" s="72"/>
      <c r="G248" s="72"/>
      <c r="H248" s="29"/>
      <c r="I248" s="29"/>
      <c r="J248" s="72"/>
      <c r="K248" s="72"/>
      <c r="L248" s="72"/>
      <c r="M248" s="72"/>
      <c r="N248" s="72"/>
      <c r="O248" s="72"/>
      <c r="P248" s="72"/>
    </row>
    <row r="249" spans="1:16">
      <c r="A249" s="70"/>
      <c r="B249" s="167"/>
      <c r="C249" s="70"/>
      <c r="D249" s="71"/>
      <c r="E249" s="72"/>
      <c r="F249" s="72"/>
      <c r="G249" s="72"/>
      <c r="H249" s="29"/>
      <c r="I249" s="29"/>
      <c r="J249" s="72"/>
      <c r="K249" s="72"/>
      <c r="L249" s="72"/>
      <c r="M249" s="72"/>
      <c r="N249" s="72"/>
      <c r="O249" s="72"/>
      <c r="P249" s="72"/>
    </row>
    <row r="250" spans="1:16">
      <c r="A250" s="70"/>
      <c r="B250" s="167"/>
      <c r="C250" s="70"/>
      <c r="D250" s="71"/>
      <c r="E250" s="72"/>
      <c r="F250" s="72"/>
      <c r="G250" s="72"/>
      <c r="H250" s="29"/>
      <c r="I250" s="29"/>
      <c r="J250" s="72"/>
      <c r="K250" s="72"/>
      <c r="L250" s="72"/>
      <c r="M250" s="72"/>
      <c r="N250" s="72"/>
      <c r="O250" s="72"/>
      <c r="P250" s="72"/>
    </row>
    <row r="251" spans="1:16">
      <c r="A251" s="70"/>
      <c r="B251" s="167"/>
      <c r="C251" s="70"/>
      <c r="D251" s="71"/>
      <c r="E251" s="72"/>
      <c r="F251" s="72"/>
      <c r="G251" s="72"/>
      <c r="H251" s="29"/>
      <c r="I251" s="29"/>
      <c r="J251" s="72"/>
      <c r="K251" s="72"/>
      <c r="L251" s="72"/>
      <c r="M251" s="72"/>
      <c r="N251" s="72"/>
      <c r="O251" s="72"/>
      <c r="P251" s="72"/>
    </row>
    <row r="252" spans="1:16">
      <c r="A252" s="70"/>
      <c r="B252" s="167"/>
      <c r="C252" s="70"/>
      <c r="D252" s="71"/>
      <c r="E252" s="72"/>
      <c r="F252" s="72"/>
      <c r="G252" s="72"/>
      <c r="H252" s="29"/>
      <c r="I252" s="29"/>
      <c r="J252" s="72"/>
      <c r="K252" s="72"/>
      <c r="L252" s="72"/>
      <c r="M252" s="72"/>
      <c r="N252" s="72"/>
      <c r="O252" s="72"/>
      <c r="P252" s="72"/>
    </row>
    <row r="253" spans="1:16">
      <c r="A253" s="70"/>
      <c r="B253" s="167"/>
      <c r="C253" s="70"/>
      <c r="D253" s="71"/>
      <c r="E253" s="72"/>
      <c r="F253" s="72"/>
      <c r="G253" s="72"/>
      <c r="H253" s="29"/>
      <c r="I253" s="29"/>
      <c r="J253" s="72"/>
      <c r="K253" s="72"/>
      <c r="L253" s="72"/>
      <c r="M253" s="72"/>
      <c r="N253" s="72"/>
      <c r="O253" s="72"/>
      <c r="P253" s="72"/>
    </row>
    <row r="254" spans="1:16">
      <c r="A254" s="70"/>
      <c r="B254" s="167"/>
      <c r="C254" s="70"/>
      <c r="D254" s="71"/>
      <c r="E254" s="72"/>
      <c r="F254" s="72"/>
      <c r="G254" s="72"/>
      <c r="H254" s="29"/>
      <c r="I254" s="29"/>
      <c r="J254" s="72"/>
      <c r="K254" s="72"/>
      <c r="L254" s="72"/>
      <c r="M254" s="72"/>
      <c r="N254" s="72"/>
      <c r="O254" s="72"/>
      <c r="P254" s="72"/>
    </row>
    <row r="255" spans="1:16">
      <c r="A255" s="70"/>
      <c r="B255" s="167"/>
      <c r="C255" s="70"/>
      <c r="D255" s="71"/>
      <c r="E255" s="72"/>
      <c r="F255" s="72"/>
      <c r="G255" s="72"/>
      <c r="H255" s="29"/>
      <c r="I255" s="29"/>
      <c r="J255" s="72"/>
      <c r="K255" s="72"/>
      <c r="L255" s="72"/>
      <c r="M255" s="72"/>
      <c r="N255" s="72"/>
      <c r="O255" s="72"/>
      <c r="P255" s="72"/>
    </row>
    <row r="256" spans="1:16">
      <c r="A256" s="70"/>
      <c r="B256" s="167"/>
      <c r="C256" s="70"/>
      <c r="D256" s="71"/>
      <c r="E256" s="72"/>
      <c r="F256" s="72"/>
      <c r="G256" s="72"/>
      <c r="H256" s="29"/>
      <c r="I256" s="29"/>
      <c r="J256" s="72"/>
      <c r="K256" s="72"/>
      <c r="L256" s="72"/>
      <c r="M256" s="72"/>
      <c r="N256" s="72"/>
      <c r="O256" s="72"/>
      <c r="P256" s="72"/>
    </row>
    <row r="257" spans="1:16">
      <c r="A257" s="70"/>
      <c r="B257" s="167"/>
      <c r="C257" s="70"/>
      <c r="D257" s="71"/>
      <c r="E257" s="72"/>
      <c r="F257" s="72"/>
      <c r="G257" s="72"/>
      <c r="H257" s="29"/>
      <c r="I257" s="29"/>
      <c r="J257" s="72"/>
      <c r="K257" s="72"/>
      <c r="L257" s="72"/>
      <c r="M257" s="72"/>
      <c r="N257" s="72"/>
      <c r="O257" s="72"/>
      <c r="P257" s="72"/>
    </row>
    <row r="258" spans="1:16">
      <c r="A258" s="70"/>
      <c r="B258" s="167"/>
      <c r="C258" s="70"/>
      <c r="D258" s="71"/>
      <c r="E258" s="72"/>
      <c r="F258" s="72"/>
      <c r="G258" s="72"/>
      <c r="H258" s="29"/>
      <c r="I258" s="29"/>
      <c r="J258" s="72"/>
      <c r="K258" s="72"/>
      <c r="L258" s="72"/>
      <c r="M258" s="72"/>
      <c r="N258" s="72"/>
      <c r="O258" s="72"/>
      <c r="P258" s="72"/>
    </row>
    <row r="259" spans="1:16">
      <c r="A259" s="70"/>
      <c r="B259" s="167"/>
      <c r="C259" s="70"/>
      <c r="D259" s="71"/>
      <c r="E259" s="72"/>
      <c r="F259" s="72"/>
      <c r="G259" s="72"/>
      <c r="H259" s="29"/>
      <c r="I259" s="29"/>
      <c r="J259" s="72"/>
      <c r="K259" s="72"/>
      <c r="L259" s="72"/>
      <c r="M259" s="72"/>
      <c r="N259" s="72"/>
      <c r="O259" s="72"/>
      <c r="P259" s="72"/>
    </row>
    <row r="260" spans="1:16">
      <c r="A260" s="70"/>
      <c r="B260" s="167"/>
      <c r="C260" s="70"/>
      <c r="D260" s="71"/>
      <c r="E260" s="72"/>
      <c r="F260" s="72"/>
      <c r="G260" s="72"/>
      <c r="H260" s="29"/>
      <c r="I260" s="29"/>
      <c r="J260" s="72"/>
      <c r="K260" s="72"/>
      <c r="L260" s="72"/>
      <c r="M260" s="72"/>
      <c r="N260" s="72"/>
      <c r="O260" s="72"/>
      <c r="P260" s="72"/>
    </row>
    <row r="261" spans="1:16">
      <c r="A261" s="70"/>
      <c r="B261" s="167"/>
      <c r="C261" s="70"/>
      <c r="D261" s="71"/>
      <c r="E261" s="72"/>
      <c r="F261" s="72"/>
      <c r="G261" s="72"/>
      <c r="H261" s="29"/>
      <c r="I261" s="29"/>
      <c r="J261" s="72"/>
      <c r="K261" s="72"/>
      <c r="L261" s="72"/>
      <c r="M261" s="72"/>
      <c r="N261" s="72"/>
      <c r="O261" s="72"/>
      <c r="P261" s="72"/>
    </row>
    <row r="262" spans="1:16">
      <c r="A262" s="70"/>
      <c r="B262" s="167"/>
      <c r="C262" s="70"/>
      <c r="D262" s="71"/>
      <c r="E262" s="72"/>
      <c r="F262" s="72"/>
      <c r="G262" s="72"/>
      <c r="H262" s="29"/>
      <c r="I262" s="29"/>
      <c r="J262" s="72"/>
      <c r="K262" s="72"/>
      <c r="L262" s="72"/>
      <c r="M262" s="72"/>
      <c r="N262" s="72"/>
      <c r="O262" s="72"/>
      <c r="P262" s="72"/>
    </row>
    <row r="263" spans="1:16">
      <c r="A263" s="70"/>
      <c r="B263" s="167"/>
      <c r="C263" s="70"/>
      <c r="D263" s="71"/>
      <c r="E263" s="72"/>
      <c r="F263" s="72"/>
      <c r="G263" s="72"/>
      <c r="H263" s="29"/>
      <c r="I263" s="29"/>
      <c r="J263" s="72"/>
      <c r="K263" s="72"/>
      <c r="L263" s="72"/>
      <c r="M263" s="72"/>
      <c r="N263" s="72"/>
      <c r="O263" s="72"/>
      <c r="P263" s="72"/>
    </row>
    <row r="264" spans="1:16">
      <c r="A264" s="70"/>
      <c r="B264" s="167"/>
      <c r="C264" s="70"/>
      <c r="D264" s="71"/>
      <c r="E264" s="72"/>
      <c r="F264" s="72"/>
      <c r="G264" s="72"/>
      <c r="H264" s="29"/>
      <c r="I264" s="29"/>
      <c r="J264" s="72"/>
      <c r="K264" s="72"/>
      <c r="L264" s="72"/>
      <c r="M264" s="72"/>
      <c r="N264" s="72"/>
      <c r="O264" s="72"/>
      <c r="P264" s="72"/>
    </row>
    <row r="265" spans="1:16">
      <c r="A265" s="70"/>
      <c r="B265" s="167"/>
      <c r="C265" s="70"/>
      <c r="D265" s="71"/>
      <c r="E265" s="72"/>
      <c r="F265" s="72"/>
      <c r="G265" s="72"/>
      <c r="H265" s="29"/>
      <c r="I265" s="29"/>
      <c r="J265" s="72"/>
      <c r="K265" s="72"/>
      <c r="L265" s="72"/>
      <c r="M265" s="72"/>
      <c r="N265" s="72"/>
      <c r="O265" s="72"/>
      <c r="P265" s="72"/>
    </row>
    <row r="266" spans="1:16">
      <c r="A266" s="70"/>
      <c r="B266" s="167"/>
      <c r="C266" s="70"/>
      <c r="D266" s="71"/>
      <c r="E266" s="72"/>
      <c r="F266" s="72"/>
      <c r="G266" s="72"/>
      <c r="H266" s="29"/>
      <c r="I266" s="29"/>
      <c r="J266" s="72"/>
      <c r="K266" s="72"/>
      <c r="L266" s="72"/>
      <c r="M266" s="72"/>
      <c r="N266" s="72"/>
      <c r="O266" s="72"/>
      <c r="P266" s="72"/>
    </row>
    <row r="267" spans="1:16">
      <c r="A267" s="70"/>
      <c r="B267" s="167"/>
      <c r="C267" s="70"/>
      <c r="D267" s="71"/>
      <c r="E267" s="72"/>
      <c r="F267" s="72"/>
      <c r="G267" s="72"/>
      <c r="H267" s="29"/>
      <c r="I267" s="29"/>
      <c r="J267" s="72"/>
      <c r="K267" s="72"/>
      <c r="L267" s="72"/>
      <c r="M267" s="72"/>
      <c r="N267" s="72"/>
      <c r="O267" s="72"/>
      <c r="P267" s="72"/>
    </row>
    <row r="268" spans="1:16">
      <c r="A268" s="70"/>
      <c r="B268" s="167"/>
      <c r="C268" s="70"/>
      <c r="D268" s="71"/>
      <c r="E268" s="72"/>
      <c r="F268" s="72"/>
      <c r="G268" s="72"/>
      <c r="H268" s="29"/>
      <c r="I268" s="29"/>
      <c r="J268" s="72"/>
      <c r="K268" s="72"/>
      <c r="L268" s="72"/>
      <c r="M268" s="72"/>
      <c r="N268" s="72"/>
      <c r="O268" s="72"/>
      <c r="P268" s="72"/>
    </row>
    <row r="269" spans="1:16">
      <c r="A269" s="70"/>
      <c r="B269" s="167"/>
      <c r="C269" s="70"/>
      <c r="D269" s="71"/>
      <c r="E269" s="72"/>
      <c r="F269" s="72"/>
      <c r="G269" s="72"/>
      <c r="H269" s="29"/>
      <c r="I269" s="29"/>
      <c r="J269" s="72"/>
      <c r="K269" s="72"/>
      <c r="L269" s="72"/>
      <c r="M269" s="72"/>
      <c r="N269" s="72"/>
      <c r="O269" s="72"/>
      <c r="P269" s="72"/>
    </row>
    <row r="270" spans="1:16">
      <c r="A270" s="70"/>
      <c r="B270" s="167"/>
      <c r="C270" s="70"/>
      <c r="D270" s="71"/>
      <c r="E270" s="72"/>
      <c r="F270" s="72"/>
      <c r="G270" s="72"/>
      <c r="H270" s="29"/>
      <c r="I270" s="29"/>
      <c r="J270" s="72"/>
      <c r="K270" s="72"/>
      <c r="L270" s="72"/>
      <c r="M270" s="72"/>
      <c r="N270" s="72"/>
      <c r="O270" s="72"/>
      <c r="P270" s="72"/>
    </row>
    <row r="271" spans="1:16">
      <c r="A271" s="70"/>
      <c r="B271" s="167"/>
      <c r="C271" s="70"/>
      <c r="D271" s="71"/>
      <c r="E271" s="72"/>
      <c r="F271" s="72"/>
      <c r="G271" s="72"/>
      <c r="H271" s="29"/>
      <c r="I271" s="29"/>
      <c r="J271" s="72"/>
      <c r="K271" s="72"/>
      <c r="L271" s="72"/>
      <c r="M271" s="72"/>
      <c r="N271" s="72"/>
      <c r="O271" s="72"/>
      <c r="P271" s="72"/>
    </row>
    <row r="272" spans="1:16">
      <c r="A272" s="70"/>
      <c r="B272" s="167"/>
      <c r="C272" s="70"/>
      <c r="D272" s="71"/>
      <c r="E272" s="72"/>
      <c r="F272" s="72"/>
      <c r="G272" s="72"/>
      <c r="H272" s="29"/>
      <c r="I272" s="29"/>
      <c r="J272" s="72"/>
      <c r="K272" s="72"/>
      <c r="L272" s="72"/>
      <c r="M272" s="72"/>
      <c r="N272" s="72"/>
      <c r="O272" s="72"/>
      <c r="P272" s="72"/>
    </row>
    <row r="273" spans="1:16">
      <c r="A273" s="70"/>
      <c r="B273" s="167"/>
      <c r="C273" s="70"/>
      <c r="D273" s="71"/>
      <c r="E273" s="72"/>
      <c r="F273" s="72"/>
      <c r="G273" s="72"/>
      <c r="H273" s="29"/>
      <c r="I273" s="29"/>
      <c r="J273" s="72"/>
      <c r="K273" s="72"/>
      <c r="L273" s="72"/>
      <c r="M273" s="72"/>
      <c r="N273" s="72"/>
      <c r="O273" s="72"/>
      <c r="P273" s="72"/>
    </row>
    <row r="274" spans="1:16">
      <c r="A274" s="70"/>
      <c r="B274" s="167"/>
      <c r="C274" s="70"/>
      <c r="D274" s="71"/>
      <c r="E274" s="72"/>
      <c r="F274" s="72"/>
      <c r="G274" s="72"/>
      <c r="H274" s="29"/>
      <c r="I274" s="29"/>
      <c r="J274" s="72"/>
      <c r="K274" s="72"/>
      <c r="L274" s="72"/>
      <c r="M274" s="72"/>
      <c r="N274" s="72"/>
      <c r="O274" s="72"/>
      <c r="P274" s="72"/>
    </row>
    <row r="275" spans="1:16">
      <c r="A275" s="70"/>
      <c r="B275" s="167"/>
      <c r="C275" s="70"/>
      <c r="D275" s="71"/>
      <c r="E275" s="72"/>
      <c r="F275" s="72"/>
      <c r="G275" s="72"/>
      <c r="H275" s="29"/>
      <c r="I275" s="29"/>
      <c r="J275" s="72"/>
      <c r="K275" s="72"/>
      <c r="L275" s="72"/>
      <c r="M275" s="72"/>
      <c r="N275" s="72"/>
      <c r="O275" s="72"/>
      <c r="P275" s="72"/>
    </row>
    <row r="276" spans="1:16">
      <c r="A276" s="70"/>
      <c r="B276" s="167"/>
      <c r="C276" s="70"/>
      <c r="D276" s="71"/>
      <c r="E276" s="72"/>
      <c r="F276" s="72"/>
      <c r="G276" s="72"/>
      <c r="H276" s="29"/>
      <c r="I276" s="29"/>
      <c r="J276" s="72"/>
      <c r="K276" s="72"/>
      <c r="L276" s="72"/>
      <c r="M276" s="72"/>
      <c r="N276" s="72"/>
      <c r="O276" s="72"/>
      <c r="P276" s="72"/>
    </row>
    <row r="277" spans="1:16">
      <c r="A277" s="70"/>
      <c r="B277" s="167"/>
      <c r="C277" s="70"/>
      <c r="D277" s="71"/>
      <c r="E277" s="72"/>
      <c r="F277" s="72"/>
      <c r="G277" s="72"/>
      <c r="H277" s="29"/>
      <c r="I277" s="29"/>
      <c r="J277" s="72"/>
      <c r="K277" s="72"/>
      <c r="L277" s="72"/>
      <c r="M277" s="72"/>
      <c r="N277" s="72"/>
      <c r="O277" s="72"/>
      <c r="P277" s="72"/>
    </row>
    <row r="278" spans="1:16">
      <c r="A278" s="70"/>
      <c r="B278" s="167"/>
      <c r="C278" s="70"/>
      <c r="D278" s="71"/>
      <c r="E278" s="72"/>
      <c r="F278" s="72"/>
      <c r="G278" s="72"/>
      <c r="H278" s="29"/>
      <c r="I278" s="29"/>
      <c r="J278" s="72"/>
      <c r="K278" s="72"/>
      <c r="L278" s="72"/>
      <c r="M278" s="72"/>
      <c r="N278" s="72"/>
      <c r="O278" s="72"/>
      <c r="P278" s="72"/>
    </row>
    <row r="279" spans="1:16">
      <c r="A279" s="70"/>
      <c r="B279" s="167"/>
      <c r="C279" s="70"/>
      <c r="D279" s="71"/>
      <c r="E279" s="72"/>
      <c r="F279" s="72"/>
      <c r="G279" s="72"/>
      <c r="H279" s="29"/>
      <c r="I279" s="29"/>
      <c r="J279" s="72"/>
      <c r="K279" s="72"/>
      <c r="L279" s="72"/>
      <c r="M279" s="72"/>
      <c r="N279" s="72"/>
      <c r="O279" s="72"/>
      <c r="P279" s="72"/>
    </row>
    <row r="280" spans="1:16">
      <c r="A280" s="70"/>
      <c r="B280" s="167"/>
      <c r="C280" s="70"/>
      <c r="D280" s="71"/>
      <c r="E280" s="72"/>
      <c r="F280" s="72"/>
      <c r="G280" s="72"/>
      <c r="H280" s="29"/>
      <c r="I280" s="29"/>
      <c r="J280" s="72"/>
      <c r="K280" s="72"/>
      <c r="L280" s="72"/>
      <c r="M280" s="72"/>
      <c r="N280" s="72"/>
      <c r="O280" s="72"/>
      <c r="P280" s="72"/>
    </row>
    <row r="281" spans="1:16">
      <c r="A281" s="70"/>
      <c r="B281" s="167"/>
      <c r="C281" s="70"/>
      <c r="D281" s="71"/>
      <c r="E281" s="72"/>
      <c r="F281" s="72"/>
      <c r="G281" s="72"/>
      <c r="H281" s="29"/>
      <c r="I281" s="29"/>
      <c r="J281" s="72"/>
      <c r="K281" s="72"/>
      <c r="L281" s="72"/>
      <c r="M281" s="72"/>
      <c r="N281" s="72"/>
      <c r="O281" s="72"/>
      <c r="P281" s="72"/>
    </row>
    <row r="282" spans="1:16">
      <c r="A282" s="70"/>
      <c r="B282" s="167"/>
      <c r="C282" s="70"/>
      <c r="D282" s="71"/>
      <c r="E282" s="72"/>
      <c r="F282" s="72"/>
      <c r="G282" s="72"/>
      <c r="H282" s="29"/>
      <c r="I282" s="29"/>
      <c r="J282" s="72"/>
      <c r="K282" s="72"/>
      <c r="L282" s="72"/>
      <c r="M282" s="72"/>
      <c r="N282" s="72"/>
      <c r="O282" s="72"/>
      <c r="P282" s="72"/>
    </row>
    <row r="283" spans="1:16">
      <c r="A283" s="70"/>
      <c r="B283" s="167"/>
      <c r="C283" s="70"/>
      <c r="D283" s="71"/>
      <c r="E283" s="72"/>
      <c r="F283" s="72"/>
      <c r="G283" s="72"/>
      <c r="H283" s="29"/>
      <c r="I283" s="29"/>
      <c r="J283" s="72"/>
      <c r="K283" s="72"/>
      <c r="L283" s="72"/>
      <c r="M283" s="72"/>
      <c r="N283" s="72"/>
      <c r="O283" s="72"/>
      <c r="P283" s="72"/>
    </row>
    <row r="284" spans="1:16">
      <c r="A284" s="70"/>
      <c r="B284" s="167"/>
      <c r="C284" s="70"/>
      <c r="D284" s="71"/>
      <c r="E284" s="72"/>
      <c r="F284" s="72"/>
      <c r="G284" s="72"/>
      <c r="H284" s="29"/>
      <c r="I284" s="29"/>
      <c r="J284" s="72"/>
      <c r="K284" s="72"/>
      <c r="L284" s="72"/>
      <c r="M284" s="72"/>
      <c r="N284" s="72"/>
      <c r="O284" s="72"/>
      <c r="P284" s="72"/>
    </row>
    <row r="285" spans="1:16">
      <c r="A285" s="70"/>
      <c r="B285" s="167"/>
      <c r="C285" s="70"/>
      <c r="D285" s="71"/>
      <c r="E285" s="72"/>
      <c r="F285" s="72"/>
      <c r="G285" s="72"/>
      <c r="H285" s="29"/>
      <c r="I285" s="29"/>
      <c r="J285" s="72"/>
      <c r="K285" s="72"/>
      <c r="L285" s="72"/>
      <c r="M285" s="72"/>
      <c r="N285" s="72"/>
      <c r="O285" s="72"/>
      <c r="P285" s="72"/>
    </row>
    <row r="286" spans="1:16">
      <c r="A286" s="70"/>
      <c r="B286" s="167"/>
      <c r="C286" s="70"/>
      <c r="D286" s="71"/>
      <c r="E286" s="72"/>
      <c r="F286" s="72"/>
      <c r="G286" s="72"/>
      <c r="H286" s="29"/>
      <c r="I286" s="29"/>
      <c r="J286" s="72"/>
      <c r="K286" s="72"/>
      <c r="L286" s="72"/>
      <c r="M286" s="72"/>
      <c r="N286" s="72"/>
      <c r="O286" s="72"/>
      <c r="P286" s="72"/>
    </row>
    <row r="287" spans="1:16">
      <c r="A287" s="70"/>
      <c r="B287" s="167"/>
      <c r="C287" s="70"/>
      <c r="D287" s="71"/>
      <c r="E287" s="72"/>
      <c r="F287" s="72"/>
      <c r="G287" s="72"/>
      <c r="H287" s="29"/>
      <c r="I287" s="29"/>
      <c r="J287" s="72"/>
      <c r="K287" s="72"/>
      <c r="L287" s="72"/>
      <c r="M287" s="72"/>
      <c r="N287" s="72"/>
      <c r="O287" s="72"/>
      <c r="P287" s="72"/>
    </row>
    <row r="288" spans="1:16">
      <c r="A288" s="70"/>
      <c r="B288" s="167"/>
      <c r="C288" s="70"/>
      <c r="D288" s="71"/>
      <c r="E288" s="72"/>
      <c r="F288" s="72"/>
      <c r="G288" s="72"/>
      <c r="H288" s="29"/>
      <c r="I288" s="29"/>
      <c r="J288" s="72"/>
      <c r="K288" s="72"/>
      <c r="L288" s="72"/>
      <c r="M288" s="72"/>
      <c r="N288" s="72"/>
      <c r="O288" s="72"/>
      <c r="P288" s="72"/>
    </row>
    <row r="289" spans="1:16">
      <c r="A289" s="70"/>
      <c r="B289" s="167"/>
      <c r="C289" s="70"/>
      <c r="D289" s="71"/>
      <c r="E289" s="72"/>
      <c r="F289" s="72"/>
      <c r="G289" s="72"/>
      <c r="H289" s="29"/>
      <c r="I289" s="29"/>
      <c r="J289" s="72"/>
      <c r="K289" s="72"/>
      <c r="L289" s="72"/>
      <c r="M289" s="72"/>
      <c r="N289" s="72"/>
      <c r="O289" s="72"/>
      <c r="P289" s="72"/>
    </row>
    <row r="290" spans="1:16">
      <c r="A290" s="70"/>
      <c r="B290" s="167"/>
      <c r="C290" s="70"/>
      <c r="D290" s="71"/>
      <c r="E290" s="72"/>
      <c r="F290" s="72"/>
      <c r="G290" s="72"/>
      <c r="H290" s="29"/>
      <c r="I290" s="29"/>
      <c r="J290" s="72"/>
      <c r="K290" s="72"/>
      <c r="L290" s="72"/>
      <c r="M290" s="72"/>
      <c r="N290" s="72"/>
      <c r="O290" s="72"/>
      <c r="P290" s="72"/>
    </row>
    <row r="291" spans="1:16">
      <c r="A291" s="70"/>
      <c r="B291" s="167"/>
      <c r="C291" s="70"/>
      <c r="D291" s="71"/>
      <c r="E291" s="72"/>
      <c r="F291" s="72"/>
      <c r="G291" s="72"/>
      <c r="H291" s="29"/>
      <c r="I291" s="29"/>
      <c r="J291" s="72"/>
      <c r="K291" s="72"/>
      <c r="L291" s="72"/>
      <c r="M291" s="72"/>
      <c r="N291" s="72"/>
      <c r="O291" s="72"/>
      <c r="P291" s="72"/>
    </row>
    <row r="292" spans="1:16">
      <c r="A292" s="70"/>
      <c r="B292" s="167"/>
      <c r="C292" s="70"/>
      <c r="D292" s="71"/>
      <c r="E292" s="72"/>
      <c r="F292" s="72"/>
      <c r="G292" s="72"/>
      <c r="H292" s="29"/>
      <c r="I292" s="29"/>
      <c r="J292" s="72"/>
      <c r="K292" s="72"/>
      <c r="L292" s="72"/>
      <c r="M292" s="72"/>
      <c r="N292" s="72"/>
      <c r="O292" s="72"/>
      <c r="P292" s="72"/>
    </row>
    <row r="293" spans="1:16">
      <c r="A293" s="70"/>
      <c r="B293" s="167"/>
      <c r="C293" s="70"/>
      <c r="D293" s="71"/>
      <c r="E293" s="72"/>
      <c r="F293" s="72"/>
      <c r="G293" s="72"/>
      <c r="H293" s="29"/>
      <c r="I293" s="29"/>
      <c r="J293" s="72"/>
      <c r="K293" s="72"/>
      <c r="L293" s="72"/>
      <c r="M293" s="72"/>
      <c r="N293" s="72"/>
      <c r="O293" s="72"/>
      <c r="P293" s="72"/>
    </row>
    <row r="294" spans="1:16">
      <c r="A294" s="70"/>
      <c r="B294" s="167"/>
      <c r="C294" s="70"/>
      <c r="D294" s="71"/>
      <c r="E294" s="72"/>
      <c r="F294" s="72"/>
      <c r="G294" s="72"/>
      <c r="H294" s="29"/>
      <c r="I294" s="29"/>
      <c r="J294" s="72"/>
      <c r="K294" s="72"/>
      <c r="L294" s="72"/>
      <c r="M294" s="72"/>
      <c r="N294" s="72"/>
      <c r="O294" s="72"/>
      <c r="P294" s="72"/>
    </row>
    <row r="295" spans="1:16">
      <c r="A295" s="70"/>
      <c r="B295" s="167"/>
      <c r="C295" s="70"/>
      <c r="D295" s="71"/>
      <c r="E295" s="72"/>
      <c r="F295" s="72"/>
      <c r="G295" s="72"/>
      <c r="H295" s="29"/>
      <c r="I295" s="29"/>
      <c r="J295" s="72"/>
      <c r="K295" s="72"/>
      <c r="L295" s="72"/>
      <c r="M295" s="72"/>
      <c r="N295" s="72"/>
      <c r="O295" s="72"/>
      <c r="P295" s="72"/>
    </row>
    <row r="296" spans="1:16">
      <c r="A296" s="70"/>
      <c r="B296" s="167"/>
      <c r="C296" s="70"/>
      <c r="D296" s="71"/>
      <c r="E296" s="72"/>
      <c r="F296" s="72"/>
      <c r="G296" s="72"/>
      <c r="H296" s="29"/>
      <c r="I296" s="29"/>
      <c r="J296" s="72"/>
      <c r="K296" s="72"/>
      <c r="L296" s="72"/>
      <c r="M296" s="72"/>
      <c r="N296" s="72"/>
      <c r="O296" s="72"/>
      <c r="P296" s="72"/>
    </row>
    <row r="297" spans="1:16">
      <c r="A297" s="70"/>
      <c r="B297" s="167"/>
      <c r="C297" s="70"/>
      <c r="D297" s="71"/>
      <c r="E297" s="72"/>
      <c r="F297" s="72"/>
      <c r="G297" s="72"/>
      <c r="H297" s="29"/>
      <c r="I297" s="29"/>
      <c r="J297" s="72"/>
      <c r="K297" s="72"/>
      <c r="L297" s="72"/>
      <c r="M297" s="72"/>
      <c r="N297" s="72"/>
      <c r="O297" s="72"/>
      <c r="P297" s="72"/>
    </row>
    <row r="298" spans="1:16">
      <c r="A298" s="70"/>
      <c r="B298" s="167"/>
      <c r="C298" s="70"/>
      <c r="D298" s="71"/>
      <c r="E298" s="72"/>
      <c r="F298" s="72"/>
      <c r="G298" s="72"/>
      <c r="H298" s="29"/>
      <c r="I298" s="29"/>
      <c r="J298" s="72"/>
      <c r="K298" s="72"/>
      <c r="L298" s="72"/>
      <c r="M298" s="72"/>
      <c r="N298" s="72"/>
      <c r="O298" s="72"/>
      <c r="P298" s="72"/>
    </row>
    <row r="299" spans="1:16">
      <c r="A299" s="70"/>
      <c r="B299" s="167"/>
      <c r="C299" s="70"/>
      <c r="D299" s="71"/>
      <c r="E299" s="72"/>
      <c r="F299" s="72"/>
      <c r="G299" s="72"/>
      <c r="H299" s="29"/>
      <c r="I299" s="29"/>
      <c r="J299" s="72"/>
      <c r="K299" s="72"/>
      <c r="L299" s="72"/>
      <c r="M299" s="72"/>
      <c r="N299" s="72"/>
      <c r="O299" s="72"/>
      <c r="P299" s="72"/>
    </row>
    <row r="300" spans="1:16">
      <c r="A300" s="70"/>
      <c r="B300" s="167"/>
      <c r="C300" s="70"/>
      <c r="D300" s="71"/>
      <c r="E300" s="72"/>
      <c r="F300" s="72"/>
      <c r="G300" s="72"/>
      <c r="H300" s="29"/>
      <c r="I300" s="29"/>
      <c r="J300" s="72"/>
      <c r="K300" s="72"/>
      <c r="L300" s="72"/>
      <c r="M300" s="72"/>
      <c r="N300" s="72"/>
      <c r="O300" s="72"/>
      <c r="P300" s="72"/>
    </row>
    <row r="301" spans="1:16">
      <c r="A301" s="70"/>
      <c r="B301" s="167"/>
      <c r="C301" s="70"/>
      <c r="D301" s="71"/>
      <c r="E301" s="72"/>
      <c r="F301" s="72"/>
      <c r="G301" s="72"/>
      <c r="H301" s="29"/>
      <c r="I301" s="29"/>
      <c r="J301" s="72"/>
      <c r="K301" s="72"/>
      <c r="L301" s="72"/>
      <c r="M301" s="72"/>
      <c r="N301" s="72"/>
      <c r="O301" s="72"/>
      <c r="P301" s="72"/>
    </row>
    <row r="302" spans="1:16">
      <c r="A302" s="70"/>
      <c r="B302" s="167"/>
      <c r="C302" s="70"/>
      <c r="D302" s="71"/>
      <c r="E302" s="72"/>
      <c r="F302" s="72"/>
      <c r="G302" s="72"/>
      <c r="H302" s="29"/>
      <c r="I302" s="29"/>
      <c r="J302" s="72"/>
      <c r="K302" s="72"/>
      <c r="L302" s="72"/>
      <c r="M302" s="72"/>
      <c r="N302" s="72"/>
      <c r="O302" s="72"/>
      <c r="P302" s="72"/>
    </row>
    <row r="303" spans="1:16">
      <c r="A303" s="70"/>
      <c r="B303" s="167"/>
      <c r="C303" s="70"/>
      <c r="D303" s="71"/>
      <c r="E303" s="72"/>
      <c r="F303" s="72"/>
      <c r="G303" s="72"/>
      <c r="H303" s="29"/>
      <c r="I303" s="29"/>
      <c r="J303" s="72"/>
      <c r="K303" s="72"/>
      <c r="L303" s="72"/>
      <c r="M303" s="72"/>
      <c r="N303" s="72"/>
      <c r="O303" s="72"/>
      <c r="P303" s="72"/>
    </row>
    <row r="304" spans="1:16">
      <c r="A304" s="70"/>
      <c r="B304" s="167"/>
      <c r="C304" s="70"/>
      <c r="D304" s="71"/>
      <c r="E304" s="72"/>
      <c r="F304" s="72"/>
      <c r="G304" s="72"/>
      <c r="H304" s="29"/>
      <c r="I304" s="29"/>
      <c r="J304" s="72"/>
      <c r="K304" s="72"/>
      <c r="L304" s="72"/>
      <c r="M304" s="72"/>
      <c r="N304" s="72"/>
      <c r="O304" s="72"/>
      <c r="P304" s="72"/>
    </row>
    <row r="305" spans="1:16">
      <c r="A305" s="70"/>
      <c r="B305" s="167"/>
      <c r="C305" s="70"/>
      <c r="D305" s="71"/>
      <c r="E305" s="72"/>
      <c r="F305" s="72"/>
      <c r="G305" s="72"/>
      <c r="H305" s="29"/>
      <c r="I305" s="29"/>
      <c r="J305" s="72"/>
      <c r="K305" s="72"/>
      <c r="L305" s="72"/>
      <c r="M305" s="72"/>
      <c r="N305" s="72"/>
      <c r="O305" s="72"/>
      <c r="P305" s="72"/>
    </row>
    <row r="306" spans="1:16">
      <c r="A306" s="70"/>
      <c r="B306" s="167"/>
      <c r="C306" s="70"/>
      <c r="D306" s="71"/>
      <c r="E306" s="72"/>
      <c r="F306" s="72"/>
      <c r="G306" s="72"/>
      <c r="H306" s="29"/>
      <c r="I306" s="29"/>
      <c r="J306" s="72"/>
      <c r="K306" s="72"/>
      <c r="L306" s="72"/>
      <c r="M306" s="72"/>
      <c r="N306" s="72"/>
      <c r="O306" s="72"/>
      <c r="P306" s="72"/>
    </row>
    <row r="307" spans="1:16">
      <c r="A307" s="70"/>
      <c r="B307" s="167"/>
      <c r="C307" s="70"/>
      <c r="D307" s="71"/>
      <c r="E307" s="72"/>
      <c r="F307" s="72"/>
      <c r="G307" s="72"/>
      <c r="H307" s="29"/>
      <c r="I307" s="29"/>
      <c r="J307" s="72"/>
      <c r="K307" s="72"/>
      <c r="L307" s="72"/>
      <c r="M307" s="72"/>
      <c r="N307" s="72"/>
      <c r="O307" s="72"/>
      <c r="P307" s="72"/>
    </row>
    <row r="308" spans="1:16">
      <c r="A308" s="70"/>
      <c r="B308" s="167"/>
      <c r="C308" s="70"/>
      <c r="D308" s="71"/>
      <c r="E308" s="72"/>
      <c r="F308" s="72"/>
      <c r="G308" s="72"/>
      <c r="H308" s="29"/>
      <c r="I308" s="29"/>
      <c r="J308" s="72"/>
      <c r="K308" s="72"/>
      <c r="L308" s="72"/>
      <c r="M308" s="72"/>
      <c r="N308" s="72"/>
      <c r="O308" s="72"/>
      <c r="P308" s="72"/>
    </row>
    <row r="309" spans="1:16">
      <c r="A309" s="70"/>
      <c r="B309" s="167"/>
      <c r="C309" s="70"/>
      <c r="D309" s="71"/>
      <c r="E309" s="72"/>
      <c r="F309" s="72"/>
      <c r="G309" s="72"/>
      <c r="H309" s="29"/>
      <c r="I309" s="29"/>
      <c r="J309" s="72"/>
      <c r="K309" s="72"/>
      <c r="L309" s="72"/>
      <c r="M309" s="72"/>
      <c r="N309" s="72"/>
      <c r="O309" s="72"/>
      <c r="P309" s="72"/>
    </row>
    <row r="310" spans="1:16">
      <c r="A310" s="70"/>
      <c r="B310" s="167"/>
      <c r="C310" s="70"/>
      <c r="D310" s="71"/>
      <c r="E310" s="72"/>
      <c r="F310" s="72"/>
      <c r="G310" s="72"/>
      <c r="H310" s="29"/>
      <c r="I310" s="29"/>
      <c r="J310" s="72"/>
      <c r="K310" s="72"/>
      <c r="L310" s="72"/>
      <c r="M310" s="72"/>
      <c r="N310" s="72"/>
      <c r="O310" s="72"/>
      <c r="P310" s="72"/>
    </row>
    <row r="311" spans="1:16">
      <c r="A311" s="70"/>
      <c r="B311" s="167"/>
      <c r="C311" s="70"/>
      <c r="D311" s="71"/>
      <c r="E311" s="72"/>
      <c r="F311" s="72"/>
      <c r="G311" s="72"/>
      <c r="H311" s="29"/>
      <c r="I311" s="29"/>
      <c r="J311" s="72"/>
      <c r="K311" s="72"/>
      <c r="L311" s="72"/>
      <c r="M311" s="72"/>
      <c r="N311" s="72"/>
      <c r="O311" s="72"/>
      <c r="P311" s="72"/>
    </row>
    <row r="312" spans="1:16">
      <c r="A312" s="70"/>
      <c r="B312" s="167"/>
      <c r="C312" s="70"/>
      <c r="D312" s="71"/>
      <c r="E312" s="72"/>
      <c r="F312" s="72"/>
      <c r="G312" s="72"/>
      <c r="H312" s="29"/>
      <c r="I312" s="29"/>
      <c r="J312" s="72"/>
      <c r="K312" s="72"/>
      <c r="L312" s="72"/>
      <c r="M312" s="72"/>
      <c r="N312" s="72"/>
      <c r="O312" s="72"/>
      <c r="P312" s="72"/>
    </row>
    <row r="313" spans="1:16">
      <c r="A313" s="70"/>
      <c r="B313" s="167"/>
      <c r="C313" s="70"/>
      <c r="D313" s="71"/>
      <c r="E313" s="72"/>
      <c r="F313" s="72"/>
      <c r="G313" s="72"/>
      <c r="H313" s="29"/>
      <c r="I313" s="29"/>
      <c r="J313" s="72"/>
      <c r="K313" s="72"/>
      <c r="L313" s="72"/>
      <c r="M313" s="72"/>
      <c r="N313" s="72"/>
      <c r="O313" s="72"/>
      <c r="P313" s="72"/>
    </row>
    <row r="314" spans="1:16">
      <c r="A314" s="70"/>
      <c r="B314" s="167"/>
      <c r="C314" s="70"/>
      <c r="D314" s="71"/>
      <c r="E314" s="72"/>
      <c r="F314" s="72"/>
      <c r="G314" s="72"/>
      <c r="H314" s="29"/>
      <c r="I314" s="29"/>
      <c r="J314" s="72"/>
      <c r="K314" s="72"/>
      <c r="L314" s="72"/>
      <c r="M314" s="72"/>
      <c r="N314" s="72"/>
      <c r="O314" s="72"/>
      <c r="P314" s="72"/>
    </row>
    <row r="315" spans="1:16">
      <c r="A315" s="70"/>
      <c r="B315" s="167"/>
      <c r="C315" s="70"/>
      <c r="D315" s="71"/>
      <c r="E315" s="72"/>
      <c r="F315" s="72"/>
      <c r="G315" s="72"/>
      <c r="H315" s="29"/>
      <c r="I315" s="29"/>
      <c r="J315" s="72"/>
      <c r="K315" s="72"/>
      <c r="L315" s="72"/>
      <c r="M315" s="72"/>
      <c r="N315" s="72"/>
      <c r="O315" s="72"/>
      <c r="P315" s="72"/>
    </row>
    <row r="316" spans="1:16">
      <c r="A316" s="70"/>
      <c r="B316" s="167"/>
      <c r="C316" s="70"/>
      <c r="D316" s="71"/>
      <c r="E316" s="72"/>
      <c r="F316" s="72"/>
      <c r="G316" s="72"/>
      <c r="H316" s="29"/>
      <c r="I316" s="29"/>
      <c r="J316" s="72"/>
      <c r="K316" s="72"/>
      <c r="L316" s="72"/>
      <c r="M316" s="72"/>
      <c r="N316" s="72"/>
      <c r="O316" s="72"/>
      <c r="P316" s="72"/>
    </row>
    <row r="317" spans="1:16">
      <c r="A317" s="70"/>
      <c r="B317" s="167"/>
      <c r="C317" s="70"/>
      <c r="D317" s="71"/>
      <c r="E317" s="72"/>
      <c r="F317" s="72"/>
      <c r="G317" s="72"/>
      <c r="H317" s="29"/>
      <c r="I317" s="29"/>
      <c r="J317" s="72"/>
      <c r="K317" s="72"/>
      <c r="L317" s="72"/>
      <c r="M317" s="72"/>
      <c r="N317" s="72"/>
      <c r="O317" s="72"/>
      <c r="P317" s="72"/>
    </row>
    <row r="318" spans="1:16">
      <c r="A318" s="70"/>
      <c r="B318" s="167"/>
      <c r="C318" s="70"/>
      <c r="D318" s="71"/>
      <c r="E318" s="72"/>
      <c r="F318" s="72"/>
      <c r="G318" s="72"/>
      <c r="H318" s="29"/>
      <c r="I318" s="29"/>
      <c r="J318" s="72"/>
      <c r="K318" s="72"/>
      <c r="L318" s="72"/>
      <c r="M318" s="72"/>
      <c r="N318" s="72"/>
      <c r="O318" s="72"/>
      <c r="P318" s="72"/>
    </row>
    <row r="319" spans="1:16">
      <c r="A319" s="70"/>
      <c r="B319" s="167"/>
      <c r="C319" s="70"/>
      <c r="D319" s="71"/>
      <c r="E319" s="72"/>
      <c r="F319" s="72"/>
      <c r="G319" s="72"/>
      <c r="H319" s="29"/>
      <c r="I319" s="29"/>
      <c r="J319" s="72"/>
      <c r="K319" s="72"/>
      <c r="L319" s="72"/>
      <c r="M319" s="72"/>
      <c r="N319" s="72"/>
      <c r="O319" s="72"/>
      <c r="P319" s="72"/>
    </row>
    <row r="320" spans="1:16">
      <c r="A320" s="70"/>
      <c r="B320" s="167"/>
      <c r="C320" s="70"/>
      <c r="D320" s="71"/>
      <c r="E320" s="72"/>
      <c r="F320" s="72"/>
      <c r="G320" s="72"/>
      <c r="H320" s="29"/>
      <c r="I320" s="29"/>
      <c r="J320" s="72"/>
      <c r="K320" s="72"/>
      <c r="L320" s="72"/>
      <c r="M320" s="72"/>
      <c r="N320" s="72"/>
      <c r="O320" s="72"/>
      <c r="P320" s="72"/>
    </row>
    <row r="321" spans="1:16">
      <c r="A321" s="70"/>
      <c r="B321" s="167"/>
      <c r="C321" s="70"/>
      <c r="D321" s="71"/>
      <c r="E321" s="72"/>
      <c r="F321" s="72"/>
      <c r="G321" s="72"/>
      <c r="H321" s="29"/>
      <c r="I321" s="29"/>
      <c r="J321" s="72"/>
      <c r="K321" s="72"/>
      <c r="L321" s="72"/>
      <c r="M321" s="72"/>
      <c r="N321" s="72"/>
      <c r="O321" s="72"/>
      <c r="P321" s="72"/>
    </row>
    <row r="322" spans="1:16">
      <c r="A322" s="70"/>
      <c r="B322" s="167"/>
      <c r="C322" s="70"/>
      <c r="D322" s="71"/>
      <c r="E322" s="72"/>
      <c r="F322" s="72"/>
      <c r="G322" s="72"/>
      <c r="H322" s="29"/>
      <c r="I322" s="29"/>
      <c r="J322" s="72"/>
      <c r="K322" s="72"/>
      <c r="L322" s="72"/>
      <c r="M322" s="72"/>
      <c r="N322" s="72"/>
      <c r="O322" s="72"/>
      <c r="P322" s="72"/>
    </row>
    <row r="323" spans="1:16">
      <c r="A323" s="70"/>
      <c r="B323" s="167"/>
      <c r="C323" s="70"/>
      <c r="D323" s="71"/>
      <c r="E323" s="72"/>
      <c r="F323" s="72"/>
      <c r="G323" s="72"/>
      <c r="H323" s="29"/>
      <c r="I323" s="29"/>
      <c r="J323" s="72"/>
      <c r="K323" s="72"/>
      <c r="L323" s="72"/>
      <c r="M323" s="72"/>
      <c r="N323" s="72"/>
      <c r="O323" s="72"/>
      <c r="P323" s="72"/>
    </row>
    <row r="324" spans="1:16">
      <c r="A324" s="70"/>
      <c r="B324" s="167"/>
      <c r="C324" s="70"/>
      <c r="D324" s="71"/>
      <c r="E324" s="72"/>
      <c r="F324" s="72"/>
      <c r="G324" s="72"/>
      <c r="H324" s="29"/>
      <c r="I324" s="29"/>
      <c r="J324" s="72"/>
      <c r="K324" s="72"/>
      <c r="L324" s="72"/>
      <c r="M324" s="72"/>
      <c r="N324" s="72"/>
      <c r="O324" s="72"/>
      <c r="P324" s="72"/>
    </row>
    <row r="325" spans="1:16">
      <c r="A325" s="70"/>
      <c r="B325" s="167"/>
      <c r="C325" s="70"/>
      <c r="D325" s="71"/>
      <c r="E325" s="72"/>
      <c r="F325" s="72"/>
      <c r="G325" s="72"/>
      <c r="H325" s="29"/>
      <c r="I325" s="29"/>
      <c r="J325" s="72"/>
      <c r="K325" s="72"/>
      <c r="L325" s="72"/>
      <c r="M325" s="72"/>
      <c r="N325" s="72"/>
      <c r="O325" s="72"/>
      <c r="P325" s="72"/>
    </row>
    <row r="326" spans="1:16">
      <c r="A326" s="70"/>
      <c r="B326" s="167"/>
      <c r="C326" s="70"/>
      <c r="D326" s="71"/>
      <c r="E326" s="72"/>
      <c r="F326" s="72"/>
      <c r="G326" s="72"/>
      <c r="H326" s="29"/>
      <c r="I326" s="29"/>
      <c r="J326" s="72"/>
      <c r="K326" s="72"/>
      <c r="L326" s="72"/>
      <c r="M326" s="72"/>
      <c r="N326" s="72"/>
      <c r="O326" s="72"/>
      <c r="P326" s="72"/>
    </row>
    <row r="327" spans="1:16">
      <c r="A327" s="70"/>
      <c r="B327" s="167"/>
      <c r="C327" s="70"/>
      <c r="D327" s="71"/>
      <c r="E327" s="72"/>
      <c r="F327" s="72"/>
      <c r="G327" s="72"/>
      <c r="H327" s="29"/>
      <c r="I327" s="29"/>
      <c r="J327" s="72"/>
      <c r="K327" s="72"/>
      <c r="L327" s="72"/>
      <c r="M327" s="72"/>
      <c r="N327" s="72"/>
      <c r="O327" s="72"/>
      <c r="P327" s="72"/>
    </row>
    <row r="328" spans="1:16">
      <c r="A328" s="70"/>
      <c r="B328" s="167"/>
      <c r="C328" s="70"/>
      <c r="D328" s="71"/>
      <c r="E328" s="72"/>
      <c r="F328" s="72"/>
      <c r="G328" s="72"/>
      <c r="H328" s="29"/>
      <c r="I328" s="29"/>
      <c r="J328" s="72"/>
      <c r="K328" s="72"/>
      <c r="L328" s="72"/>
      <c r="M328" s="72"/>
      <c r="N328" s="72"/>
      <c r="O328" s="72"/>
      <c r="P328" s="72"/>
    </row>
    <row r="329" spans="1:16">
      <c r="A329" s="70"/>
      <c r="B329" s="167"/>
      <c r="C329" s="70"/>
      <c r="D329" s="71"/>
      <c r="E329" s="72"/>
      <c r="F329" s="72"/>
      <c r="G329" s="72"/>
      <c r="H329" s="29"/>
      <c r="I329" s="29"/>
      <c r="J329" s="72"/>
      <c r="K329" s="72"/>
      <c r="L329" s="72"/>
      <c r="M329" s="72"/>
      <c r="N329" s="72"/>
      <c r="O329" s="72"/>
      <c r="P329" s="72"/>
    </row>
    <row r="330" spans="1:16">
      <c r="A330" s="70"/>
      <c r="B330" s="167"/>
      <c r="C330" s="70"/>
      <c r="D330" s="71"/>
      <c r="E330" s="72"/>
      <c r="F330" s="72"/>
      <c r="G330" s="72"/>
      <c r="H330" s="29"/>
      <c r="I330" s="29"/>
      <c r="J330" s="72"/>
      <c r="K330" s="72"/>
      <c r="L330" s="72"/>
      <c r="M330" s="72"/>
      <c r="N330" s="72"/>
      <c r="O330" s="72"/>
      <c r="P330" s="72"/>
    </row>
    <row r="331" spans="1:16">
      <c r="A331" s="70"/>
      <c r="B331" s="167"/>
      <c r="C331" s="70"/>
      <c r="D331" s="71"/>
      <c r="E331" s="72"/>
      <c r="F331" s="72"/>
      <c r="G331" s="72"/>
      <c r="H331" s="29"/>
      <c r="I331" s="29"/>
      <c r="J331" s="72"/>
      <c r="K331" s="72"/>
      <c r="L331" s="72"/>
      <c r="M331" s="72"/>
      <c r="N331" s="72"/>
      <c r="O331" s="72"/>
      <c r="P331" s="72"/>
    </row>
    <row r="332" spans="1:16">
      <c r="A332" s="70"/>
      <c r="B332" s="167"/>
      <c r="C332" s="70"/>
      <c r="D332" s="71"/>
      <c r="E332" s="72"/>
      <c r="F332" s="72"/>
      <c r="G332" s="72"/>
      <c r="H332" s="29"/>
      <c r="I332" s="29"/>
      <c r="J332" s="72"/>
      <c r="K332" s="72"/>
      <c r="L332" s="72"/>
      <c r="M332" s="72"/>
      <c r="N332" s="72"/>
      <c r="O332" s="72"/>
      <c r="P332" s="72"/>
    </row>
    <row r="333" spans="1:16">
      <c r="A333" s="70"/>
      <c r="B333" s="167"/>
      <c r="C333" s="70"/>
      <c r="D333" s="71"/>
      <c r="E333" s="72"/>
      <c r="F333" s="72"/>
      <c r="G333" s="72"/>
      <c r="H333" s="29"/>
      <c r="I333" s="29"/>
      <c r="J333" s="72"/>
      <c r="K333" s="72"/>
      <c r="L333" s="72"/>
      <c r="M333" s="72"/>
      <c r="N333" s="72"/>
      <c r="O333" s="72"/>
      <c r="P333" s="72"/>
    </row>
    <row r="334" spans="1:16">
      <c r="A334" s="70"/>
      <c r="B334" s="167"/>
      <c r="C334" s="70"/>
      <c r="D334" s="71"/>
      <c r="E334" s="72"/>
      <c r="F334" s="72"/>
      <c r="G334" s="72"/>
      <c r="H334" s="29"/>
      <c r="I334" s="29"/>
      <c r="J334" s="72"/>
      <c r="K334" s="72"/>
      <c r="L334" s="72"/>
      <c r="M334" s="72"/>
      <c r="N334" s="72"/>
      <c r="O334" s="72"/>
      <c r="P334" s="72"/>
    </row>
    <row r="335" spans="1:16">
      <c r="A335" s="70"/>
      <c r="B335" s="167"/>
      <c r="C335" s="70"/>
      <c r="D335" s="71"/>
      <c r="E335" s="72"/>
      <c r="F335" s="72"/>
      <c r="G335" s="72"/>
      <c r="H335" s="29"/>
      <c r="I335" s="29"/>
      <c r="J335" s="72"/>
      <c r="K335" s="72"/>
      <c r="L335" s="72"/>
      <c r="M335" s="72"/>
      <c r="N335" s="72"/>
      <c r="O335" s="72"/>
      <c r="P335" s="72"/>
    </row>
    <row r="336" spans="1:16">
      <c r="A336" s="70"/>
      <c r="B336" s="167"/>
      <c r="C336" s="70"/>
      <c r="D336" s="71"/>
      <c r="E336" s="72"/>
      <c r="F336" s="72"/>
      <c r="G336" s="72"/>
      <c r="H336" s="29"/>
      <c r="I336" s="29"/>
      <c r="J336" s="72"/>
      <c r="K336" s="72"/>
      <c r="L336" s="72"/>
      <c r="M336" s="72"/>
      <c r="N336" s="72"/>
      <c r="O336" s="72"/>
      <c r="P336" s="72"/>
    </row>
    <row r="337" spans="1:16">
      <c r="A337" s="70"/>
      <c r="B337" s="167"/>
      <c r="C337" s="70"/>
      <c r="D337" s="71"/>
      <c r="E337" s="72"/>
      <c r="F337" s="72"/>
      <c r="G337" s="72"/>
      <c r="H337" s="29"/>
      <c r="I337" s="29"/>
      <c r="J337" s="72"/>
      <c r="K337" s="72"/>
      <c r="L337" s="72"/>
      <c r="M337" s="72"/>
      <c r="N337" s="72"/>
      <c r="O337" s="72"/>
      <c r="P337" s="72"/>
    </row>
    <row r="338" spans="1:16">
      <c r="A338" s="70"/>
      <c r="B338" s="167"/>
      <c r="C338" s="70"/>
      <c r="D338" s="71"/>
      <c r="E338" s="72"/>
      <c r="F338" s="72"/>
      <c r="G338" s="72"/>
      <c r="H338" s="29"/>
      <c r="I338" s="29"/>
      <c r="J338" s="72"/>
      <c r="K338" s="72"/>
      <c r="L338" s="72"/>
      <c r="M338" s="72"/>
      <c r="N338" s="72"/>
      <c r="O338" s="72"/>
      <c r="P338" s="72"/>
    </row>
    <row r="339" spans="1:16">
      <c r="A339" s="70"/>
      <c r="B339" s="167"/>
      <c r="C339" s="70"/>
      <c r="D339" s="71"/>
      <c r="E339" s="72"/>
      <c r="F339" s="72"/>
      <c r="G339" s="72"/>
      <c r="H339" s="29"/>
      <c r="I339" s="29"/>
      <c r="J339" s="72"/>
      <c r="K339" s="72"/>
      <c r="L339" s="72"/>
      <c r="M339" s="72"/>
      <c r="N339" s="72"/>
      <c r="O339" s="72"/>
      <c r="P339" s="72"/>
    </row>
    <row r="340" spans="1:16">
      <c r="A340" s="70"/>
      <c r="B340" s="167"/>
      <c r="C340" s="70"/>
      <c r="D340" s="71"/>
      <c r="E340" s="72"/>
      <c r="F340" s="72"/>
      <c r="G340" s="72"/>
      <c r="H340" s="29"/>
      <c r="I340" s="29"/>
      <c r="J340" s="72"/>
      <c r="K340" s="72"/>
      <c r="L340" s="72"/>
      <c r="M340" s="72"/>
      <c r="N340" s="72"/>
      <c r="O340" s="72"/>
      <c r="P340" s="72"/>
    </row>
    <row r="341" spans="1:16">
      <c r="A341" s="70"/>
      <c r="B341" s="167"/>
      <c r="C341" s="70"/>
      <c r="D341" s="71"/>
      <c r="E341" s="72"/>
      <c r="F341" s="72"/>
      <c r="G341" s="72"/>
      <c r="H341" s="29"/>
      <c r="I341" s="29"/>
      <c r="J341" s="72"/>
      <c r="K341" s="72"/>
      <c r="L341" s="72"/>
      <c r="M341" s="72"/>
      <c r="N341" s="72"/>
      <c r="O341" s="72"/>
      <c r="P341" s="72"/>
    </row>
    <row r="342" spans="1:16">
      <c r="A342" s="70"/>
      <c r="B342" s="167"/>
      <c r="C342" s="70"/>
      <c r="D342" s="71"/>
      <c r="E342" s="72"/>
      <c r="F342" s="72"/>
      <c r="G342" s="72"/>
      <c r="H342" s="29"/>
      <c r="I342" s="29"/>
      <c r="J342" s="72"/>
      <c r="K342" s="72"/>
      <c r="L342" s="72"/>
      <c r="M342" s="72"/>
      <c r="N342" s="72"/>
      <c r="O342" s="72"/>
      <c r="P342" s="72"/>
    </row>
    <row r="343" spans="1:16">
      <c r="A343" s="70"/>
      <c r="B343" s="167"/>
      <c r="C343" s="70"/>
      <c r="D343" s="71"/>
      <c r="E343" s="72"/>
      <c r="F343" s="72"/>
      <c r="G343" s="72"/>
      <c r="H343" s="29"/>
      <c r="I343" s="29"/>
      <c r="J343" s="72"/>
      <c r="K343" s="72"/>
      <c r="L343" s="72"/>
      <c r="M343" s="72"/>
      <c r="N343" s="72"/>
      <c r="O343" s="72"/>
      <c r="P343" s="72"/>
    </row>
    <row r="344" spans="1:16">
      <c r="A344" s="70"/>
      <c r="B344" s="167"/>
      <c r="C344" s="70"/>
      <c r="D344" s="71"/>
      <c r="E344" s="72"/>
      <c r="F344" s="72"/>
      <c r="G344" s="72"/>
      <c r="H344" s="29"/>
      <c r="I344" s="29"/>
      <c r="J344" s="72"/>
      <c r="K344" s="72"/>
      <c r="L344" s="72"/>
      <c r="M344" s="72"/>
      <c r="N344" s="72"/>
      <c r="O344" s="72"/>
      <c r="P344" s="72"/>
    </row>
    <row r="345" spans="1:16">
      <c r="A345" s="70"/>
      <c r="B345" s="167"/>
      <c r="C345" s="70"/>
      <c r="D345" s="71"/>
      <c r="E345" s="72"/>
      <c r="F345" s="72"/>
      <c r="G345" s="72"/>
      <c r="H345" s="29"/>
      <c r="I345" s="29"/>
      <c r="J345" s="72"/>
      <c r="K345" s="72"/>
      <c r="L345" s="72"/>
      <c r="M345" s="72"/>
      <c r="N345" s="72"/>
      <c r="O345" s="72"/>
      <c r="P345" s="72"/>
    </row>
    <row r="346" spans="1:16">
      <c r="A346" s="70"/>
      <c r="B346" s="167"/>
      <c r="C346" s="70"/>
      <c r="D346" s="71"/>
      <c r="E346" s="72"/>
      <c r="F346" s="72"/>
      <c r="G346" s="72"/>
      <c r="H346" s="29"/>
      <c r="I346" s="29"/>
      <c r="J346" s="72"/>
      <c r="K346" s="72"/>
      <c r="L346" s="72"/>
      <c r="M346" s="72"/>
      <c r="N346" s="72"/>
      <c r="O346" s="72"/>
      <c r="P346" s="72"/>
    </row>
    <row r="347" spans="1:16">
      <c r="A347" s="70"/>
      <c r="B347" s="167"/>
      <c r="C347" s="70"/>
      <c r="D347" s="71"/>
      <c r="E347" s="72"/>
      <c r="F347" s="72"/>
      <c r="G347" s="72"/>
      <c r="H347" s="29"/>
      <c r="I347" s="29"/>
      <c r="J347" s="72"/>
      <c r="K347" s="72"/>
      <c r="L347" s="72"/>
      <c r="M347" s="72"/>
      <c r="N347" s="72"/>
      <c r="O347" s="72"/>
      <c r="P347" s="72"/>
    </row>
    <row r="348" spans="1:16">
      <c r="A348" s="70"/>
      <c r="B348" s="167"/>
      <c r="C348" s="70"/>
      <c r="D348" s="71"/>
      <c r="E348" s="72"/>
      <c r="F348" s="72"/>
      <c r="G348" s="72"/>
      <c r="H348" s="29"/>
      <c r="I348" s="29"/>
      <c r="J348" s="72"/>
      <c r="K348" s="72"/>
      <c r="L348" s="72"/>
      <c r="M348" s="72"/>
      <c r="N348" s="72"/>
      <c r="O348" s="72"/>
      <c r="P348" s="72"/>
    </row>
    <row r="349" spans="1:16">
      <c r="A349" s="70"/>
      <c r="B349" s="167"/>
      <c r="C349" s="70"/>
      <c r="D349" s="71"/>
      <c r="E349" s="72"/>
      <c r="F349" s="72"/>
      <c r="G349" s="72"/>
      <c r="H349" s="29"/>
      <c r="I349" s="29"/>
      <c r="J349" s="72"/>
      <c r="K349" s="72"/>
      <c r="L349" s="72"/>
      <c r="M349" s="72"/>
      <c r="N349" s="72"/>
      <c r="O349" s="72"/>
      <c r="P349" s="72"/>
    </row>
    <row r="350" spans="1:16">
      <c r="A350" s="70"/>
      <c r="B350" s="167"/>
      <c r="C350" s="70"/>
      <c r="D350" s="71"/>
      <c r="E350" s="72"/>
      <c r="F350" s="72"/>
      <c r="G350" s="72"/>
      <c r="H350" s="29"/>
      <c r="I350" s="29"/>
      <c r="J350" s="72"/>
      <c r="K350" s="72"/>
      <c r="L350" s="72"/>
      <c r="M350" s="72"/>
      <c r="N350" s="72"/>
      <c r="O350" s="72"/>
      <c r="P350" s="72"/>
    </row>
    <row r="351" spans="1:16">
      <c r="A351" s="70"/>
      <c r="B351" s="167"/>
      <c r="C351" s="70"/>
      <c r="D351" s="71"/>
      <c r="E351" s="72"/>
      <c r="F351" s="72"/>
      <c r="G351" s="72"/>
      <c r="H351" s="29"/>
      <c r="I351" s="29"/>
      <c r="J351" s="72"/>
      <c r="K351" s="72"/>
      <c r="L351" s="72"/>
      <c r="M351" s="72"/>
      <c r="N351" s="72"/>
      <c r="O351" s="72"/>
      <c r="P351" s="72"/>
    </row>
    <row r="352" spans="1:16">
      <c r="A352" s="70"/>
      <c r="B352" s="167"/>
      <c r="C352" s="70"/>
      <c r="D352" s="71"/>
      <c r="E352" s="72"/>
      <c r="F352" s="72"/>
      <c r="G352" s="72"/>
      <c r="H352" s="29"/>
      <c r="I352" s="29"/>
      <c r="J352" s="72"/>
      <c r="K352" s="72"/>
      <c r="L352" s="72"/>
      <c r="M352" s="72"/>
      <c r="N352" s="72"/>
      <c r="O352" s="72"/>
      <c r="P352" s="72"/>
    </row>
    <row r="353" spans="1:16">
      <c r="A353" s="70"/>
      <c r="B353" s="167"/>
      <c r="C353" s="70"/>
      <c r="D353" s="71"/>
      <c r="E353" s="72"/>
      <c r="F353" s="72"/>
      <c r="G353" s="72"/>
      <c r="H353" s="29"/>
      <c r="I353" s="29"/>
      <c r="J353" s="72"/>
      <c r="K353" s="72"/>
      <c r="L353" s="72"/>
      <c r="M353" s="72"/>
      <c r="N353" s="72"/>
      <c r="O353" s="72"/>
      <c r="P353" s="72"/>
    </row>
    <row r="354" spans="1:16">
      <c r="A354" s="70"/>
      <c r="B354" s="167"/>
      <c r="C354" s="70"/>
      <c r="D354" s="71"/>
      <c r="E354" s="72"/>
      <c r="F354" s="72"/>
      <c r="G354" s="72"/>
      <c r="H354" s="29"/>
      <c r="I354" s="29"/>
      <c r="J354" s="72"/>
      <c r="K354" s="72"/>
      <c r="L354" s="72"/>
      <c r="M354" s="72"/>
      <c r="N354" s="72"/>
      <c r="O354" s="72"/>
      <c r="P354" s="72"/>
    </row>
    <row r="355" spans="1:16">
      <c r="A355" s="70"/>
      <c r="B355" s="167"/>
      <c r="C355" s="70"/>
      <c r="D355" s="71"/>
      <c r="E355" s="72"/>
      <c r="F355" s="72"/>
      <c r="G355" s="72"/>
      <c r="H355" s="29"/>
      <c r="I355" s="29"/>
      <c r="J355" s="72"/>
      <c r="K355" s="72"/>
      <c r="L355" s="72"/>
      <c r="M355" s="72"/>
      <c r="N355" s="72"/>
      <c r="O355" s="72"/>
      <c r="P355" s="72"/>
    </row>
    <row r="356" spans="1:16">
      <c r="A356" s="70"/>
      <c r="B356" s="167"/>
      <c r="C356" s="70"/>
      <c r="D356" s="71"/>
      <c r="E356" s="72"/>
      <c r="F356" s="72"/>
      <c r="G356" s="72"/>
      <c r="H356" s="29"/>
      <c r="I356" s="29"/>
      <c r="J356" s="72"/>
      <c r="K356" s="72"/>
      <c r="L356" s="72"/>
      <c r="M356" s="72"/>
      <c r="N356" s="72"/>
      <c r="O356" s="72"/>
      <c r="P356" s="72"/>
    </row>
    <row r="357" spans="1:16">
      <c r="A357" s="70"/>
      <c r="B357" s="167"/>
      <c r="C357" s="70"/>
      <c r="D357" s="71"/>
      <c r="E357" s="72"/>
      <c r="F357" s="72"/>
      <c r="G357" s="72"/>
      <c r="H357" s="29"/>
      <c r="I357" s="29"/>
      <c r="J357" s="72"/>
      <c r="K357" s="72"/>
      <c r="L357" s="72"/>
      <c r="M357" s="72"/>
      <c r="N357" s="72"/>
      <c r="O357" s="72"/>
      <c r="P357" s="72"/>
    </row>
    <row r="358" spans="1:16">
      <c r="A358" s="70"/>
      <c r="B358" s="167"/>
      <c r="C358" s="70"/>
      <c r="D358" s="71"/>
      <c r="E358" s="72"/>
      <c r="F358" s="72"/>
      <c r="G358" s="72"/>
      <c r="H358" s="29"/>
      <c r="I358" s="29"/>
      <c r="J358" s="72"/>
      <c r="K358" s="72"/>
      <c r="L358" s="72"/>
      <c r="M358" s="72"/>
      <c r="N358" s="72"/>
      <c r="O358" s="72"/>
      <c r="P358" s="72"/>
    </row>
    <row r="359" spans="1:16">
      <c r="A359" s="70"/>
      <c r="B359" s="167"/>
      <c r="C359" s="70"/>
      <c r="D359" s="71"/>
      <c r="E359" s="72"/>
      <c r="F359" s="72"/>
      <c r="G359" s="72"/>
      <c r="H359" s="29"/>
      <c r="I359" s="29"/>
      <c r="J359" s="72"/>
      <c r="K359" s="72"/>
      <c r="L359" s="72"/>
      <c r="M359" s="72"/>
      <c r="N359" s="72"/>
      <c r="O359" s="72"/>
      <c r="P359" s="72"/>
    </row>
    <row r="360" spans="1:16">
      <c r="A360" s="70"/>
      <c r="B360" s="167"/>
      <c r="C360" s="70"/>
      <c r="D360" s="71"/>
      <c r="E360" s="72"/>
      <c r="F360" s="72"/>
      <c r="G360" s="72"/>
      <c r="H360" s="29"/>
      <c r="I360" s="29"/>
      <c r="J360" s="72"/>
      <c r="K360" s="72"/>
      <c r="L360" s="72"/>
      <c r="M360" s="72"/>
      <c r="N360" s="72"/>
      <c r="O360" s="72"/>
      <c r="P360" s="72"/>
    </row>
    <row r="361" spans="1:16">
      <c r="A361" s="70"/>
      <c r="B361" s="167"/>
      <c r="C361" s="70"/>
      <c r="D361" s="71"/>
      <c r="E361" s="72"/>
      <c r="F361" s="72"/>
      <c r="G361" s="72"/>
      <c r="H361" s="29"/>
      <c r="I361" s="29"/>
      <c r="J361" s="72"/>
      <c r="K361" s="72"/>
      <c r="L361" s="72"/>
      <c r="M361" s="72"/>
      <c r="N361" s="72"/>
      <c r="O361" s="72"/>
      <c r="P361" s="72"/>
    </row>
    <row r="362" spans="1:16">
      <c r="A362" s="70"/>
      <c r="B362" s="167"/>
      <c r="C362" s="70"/>
      <c r="D362" s="71"/>
      <c r="E362" s="72"/>
      <c r="F362" s="72"/>
      <c r="G362" s="72"/>
      <c r="H362" s="29"/>
      <c r="I362" s="29"/>
      <c r="J362" s="72"/>
      <c r="K362" s="72"/>
      <c r="L362" s="72"/>
      <c r="M362" s="72"/>
      <c r="N362" s="72"/>
      <c r="O362" s="72"/>
      <c r="P362" s="72"/>
    </row>
    <row r="363" spans="1:16">
      <c r="A363" s="70"/>
      <c r="B363" s="167"/>
      <c r="C363" s="70"/>
      <c r="D363" s="71"/>
      <c r="E363" s="72"/>
      <c r="F363" s="72"/>
      <c r="G363" s="72"/>
      <c r="H363" s="29"/>
      <c r="I363" s="29"/>
      <c r="J363" s="72"/>
      <c r="K363" s="72"/>
      <c r="L363" s="72"/>
      <c r="M363" s="72"/>
      <c r="N363" s="72"/>
      <c r="O363" s="72"/>
      <c r="P363" s="72"/>
    </row>
    <row r="364" spans="1:16">
      <c r="A364" s="70"/>
      <c r="B364" s="167"/>
      <c r="C364" s="70"/>
      <c r="D364" s="71"/>
      <c r="E364" s="72"/>
      <c r="F364" s="72"/>
      <c r="G364" s="72"/>
      <c r="H364" s="29"/>
      <c r="I364" s="29"/>
      <c r="J364" s="72"/>
      <c r="K364" s="72"/>
      <c r="L364" s="72"/>
      <c r="M364" s="72"/>
      <c r="N364" s="72"/>
      <c r="O364" s="72"/>
      <c r="P364" s="72"/>
    </row>
    <row r="365" spans="1:16">
      <c r="A365" s="70"/>
      <c r="B365" s="167"/>
      <c r="C365" s="70"/>
      <c r="D365" s="71"/>
      <c r="E365" s="72"/>
      <c r="F365" s="72"/>
      <c r="G365" s="72"/>
      <c r="H365" s="29"/>
      <c r="I365" s="29"/>
      <c r="J365" s="72"/>
      <c r="K365" s="72"/>
      <c r="L365" s="72"/>
      <c r="M365" s="72"/>
      <c r="N365" s="72"/>
      <c r="O365" s="72"/>
      <c r="P365" s="72"/>
    </row>
    <row r="366" spans="1:16">
      <c r="A366" s="70"/>
      <c r="B366" s="167"/>
      <c r="C366" s="70"/>
      <c r="D366" s="71"/>
      <c r="E366" s="72"/>
      <c r="F366" s="72"/>
      <c r="G366" s="72"/>
      <c r="H366" s="29"/>
      <c r="I366" s="29"/>
      <c r="J366" s="72"/>
      <c r="K366" s="72"/>
      <c r="L366" s="72"/>
      <c r="M366" s="72"/>
      <c r="N366" s="72"/>
      <c r="O366" s="72"/>
      <c r="P366" s="72"/>
    </row>
    <row r="367" spans="1:16">
      <c r="A367" s="70"/>
      <c r="B367" s="167"/>
      <c r="C367" s="70"/>
      <c r="D367" s="71"/>
      <c r="E367" s="72"/>
      <c r="F367" s="72"/>
      <c r="G367" s="72"/>
      <c r="H367" s="29"/>
      <c r="I367" s="29"/>
      <c r="J367" s="72"/>
      <c r="K367" s="72"/>
      <c r="L367" s="72"/>
      <c r="M367" s="72"/>
      <c r="N367" s="72"/>
      <c r="O367" s="72"/>
      <c r="P367" s="72"/>
    </row>
    <row r="368" spans="1:16">
      <c r="A368" s="70"/>
      <c r="B368" s="167"/>
      <c r="C368" s="70"/>
      <c r="D368" s="71"/>
      <c r="E368" s="72"/>
      <c r="F368" s="72"/>
      <c r="G368" s="72"/>
      <c r="H368" s="29"/>
      <c r="I368" s="29"/>
      <c r="J368" s="72"/>
      <c r="K368" s="72"/>
      <c r="L368" s="72"/>
      <c r="M368" s="72"/>
      <c r="N368" s="72"/>
      <c r="O368" s="72"/>
      <c r="P368" s="72"/>
    </row>
    <row r="369" spans="1:16">
      <c r="A369" s="70"/>
      <c r="B369" s="167"/>
      <c r="C369" s="70"/>
      <c r="D369" s="71"/>
      <c r="E369" s="72"/>
      <c r="F369" s="72"/>
      <c r="G369" s="72"/>
      <c r="H369" s="29"/>
      <c r="I369" s="29"/>
      <c r="J369" s="72"/>
      <c r="K369" s="72"/>
      <c r="L369" s="72"/>
      <c r="M369" s="72"/>
      <c r="N369" s="72"/>
      <c r="O369" s="72"/>
      <c r="P369" s="72"/>
    </row>
    <row r="370" spans="1:16">
      <c r="A370" s="70"/>
      <c r="B370" s="167"/>
      <c r="C370" s="70"/>
      <c r="D370" s="71"/>
      <c r="E370" s="72"/>
      <c r="F370" s="72"/>
      <c r="G370" s="72"/>
      <c r="H370" s="29"/>
      <c r="I370" s="29"/>
      <c r="J370" s="72"/>
      <c r="K370" s="72"/>
      <c r="L370" s="72"/>
      <c r="M370" s="72"/>
      <c r="N370" s="72"/>
      <c r="O370" s="72"/>
      <c r="P370" s="72"/>
    </row>
    <row r="371" spans="1:16">
      <c r="A371" s="70"/>
      <c r="B371" s="167"/>
      <c r="C371" s="70"/>
      <c r="D371" s="71"/>
      <c r="E371" s="72"/>
      <c r="F371" s="72"/>
      <c r="G371" s="72"/>
      <c r="H371" s="29"/>
      <c r="I371" s="29"/>
      <c r="J371" s="72"/>
      <c r="K371" s="72"/>
      <c r="L371" s="72"/>
      <c r="M371" s="72"/>
      <c r="N371" s="72"/>
      <c r="O371" s="72"/>
      <c r="P371" s="72"/>
    </row>
    <row r="372" spans="1:16">
      <c r="A372" s="70"/>
      <c r="B372" s="167"/>
      <c r="C372" s="70"/>
      <c r="D372" s="71"/>
      <c r="E372" s="72"/>
      <c r="F372" s="72"/>
      <c r="G372" s="72"/>
      <c r="H372" s="29"/>
      <c r="I372" s="29"/>
      <c r="J372" s="72"/>
      <c r="K372" s="72"/>
      <c r="L372" s="72"/>
      <c r="M372" s="72"/>
      <c r="N372" s="72"/>
      <c r="O372" s="72"/>
      <c r="P372" s="72"/>
    </row>
    <row r="373" spans="1:16">
      <c r="A373" s="70"/>
      <c r="B373" s="167"/>
      <c r="C373" s="70"/>
      <c r="D373" s="71"/>
      <c r="E373" s="72"/>
      <c r="F373" s="72"/>
      <c r="G373" s="72"/>
      <c r="H373" s="29"/>
      <c r="I373" s="29"/>
      <c r="J373" s="72"/>
      <c r="K373" s="72"/>
      <c r="L373" s="72"/>
      <c r="M373" s="72"/>
      <c r="N373" s="72"/>
      <c r="O373" s="72"/>
      <c r="P373" s="72"/>
    </row>
    <row r="374" spans="1:16">
      <c r="A374" s="70"/>
      <c r="B374" s="167"/>
      <c r="C374" s="70"/>
      <c r="D374" s="71"/>
      <c r="E374" s="72"/>
      <c r="F374" s="72"/>
      <c r="G374" s="72"/>
      <c r="H374" s="29"/>
      <c r="I374" s="29"/>
      <c r="J374" s="72"/>
      <c r="K374" s="72"/>
      <c r="L374" s="72"/>
      <c r="M374" s="72"/>
      <c r="N374" s="72"/>
      <c r="O374" s="72"/>
      <c r="P374" s="72"/>
    </row>
    <row r="375" spans="1:16">
      <c r="A375" s="70"/>
      <c r="B375" s="167"/>
      <c r="C375" s="70"/>
      <c r="D375" s="71"/>
      <c r="E375" s="72"/>
      <c r="F375" s="72"/>
      <c r="G375" s="72"/>
      <c r="H375" s="29"/>
      <c r="I375" s="29"/>
      <c r="J375" s="72"/>
      <c r="K375" s="72"/>
      <c r="L375" s="72"/>
      <c r="M375" s="72"/>
      <c r="N375" s="72"/>
      <c r="O375" s="72"/>
      <c r="P375" s="72"/>
    </row>
    <row r="376" spans="1:16">
      <c r="A376" s="70"/>
      <c r="B376" s="167"/>
      <c r="C376" s="70"/>
      <c r="D376" s="71"/>
      <c r="E376" s="72"/>
      <c r="F376" s="72"/>
      <c r="G376" s="72"/>
      <c r="H376" s="29"/>
      <c r="I376" s="29"/>
      <c r="J376" s="72"/>
      <c r="K376" s="72"/>
      <c r="L376" s="72"/>
      <c r="M376" s="72"/>
      <c r="N376" s="72"/>
      <c r="O376" s="72"/>
      <c r="P376" s="72"/>
    </row>
    <row r="377" spans="1:16">
      <c r="A377" s="70"/>
      <c r="B377" s="167"/>
      <c r="C377" s="70"/>
      <c r="D377" s="71"/>
      <c r="E377" s="72"/>
      <c r="F377" s="72"/>
      <c r="G377" s="72"/>
      <c r="H377" s="29"/>
      <c r="I377" s="29"/>
      <c r="J377" s="72"/>
      <c r="K377" s="72"/>
      <c r="L377" s="72"/>
      <c r="M377" s="72"/>
      <c r="N377" s="72"/>
      <c r="O377" s="72"/>
      <c r="P377" s="72"/>
    </row>
    <row r="378" spans="1:16">
      <c r="A378" s="70"/>
      <c r="B378" s="167"/>
      <c r="C378" s="70"/>
      <c r="D378" s="71"/>
      <c r="E378" s="72"/>
      <c r="F378" s="72"/>
      <c r="G378" s="72"/>
      <c r="H378" s="29"/>
      <c r="I378" s="29"/>
      <c r="J378" s="72"/>
      <c r="K378" s="72"/>
      <c r="L378" s="72"/>
      <c r="M378" s="72"/>
      <c r="N378" s="72"/>
      <c r="O378" s="72"/>
      <c r="P378" s="72"/>
    </row>
    <row r="379" spans="1:16">
      <c r="A379" s="70"/>
      <c r="B379" s="167"/>
      <c r="C379" s="70"/>
      <c r="D379" s="71"/>
      <c r="E379" s="72"/>
      <c r="F379" s="72"/>
      <c r="G379" s="72"/>
      <c r="H379" s="29"/>
      <c r="I379" s="29"/>
      <c r="J379" s="72"/>
      <c r="K379" s="72"/>
      <c r="L379" s="72"/>
      <c r="M379" s="72"/>
      <c r="N379" s="72"/>
      <c r="O379" s="72"/>
      <c r="P379" s="72"/>
    </row>
    <row r="380" spans="1:16">
      <c r="A380" s="70"/>
      <c r="B380" s="167"/>
      <c r="C380" s="70"/>
      <c r="D380" s="71"/>
      <c r="E380" s="72"/>
      <c r="F380" s="72"/>
      <c r="G380" s="72"/>
      <c r="H380" s="29"/>
      <c r="I380" s="29"/>
      <c r="J380" s="72"/>
      <c r="K380" s="72"/>
      <c r="L380" s="72"/>
      <c r="M380" s="72"/>
      <c r="N380" s="72"/>
      <c r="O380" s="72"/>
      <c r="P380" s="72"/>
    </row>
    <row r="381" spans="1:16">
      <c r="A381" s="70"/>
      <c r="B381" s="167"/>
      <c r="C381" s="70"/>
      <c r="D381" s="71"/>
      <c r="E381" s="72"/>
      <c r="F381" s="72"/>
      <c r="G381" s="72"/>
      <c r="H381" s="29"/>
      <c r="I381" s="29"/>
      <c r="J381" s="72"/>
      <c r="K381" s="72"/>
      <c r="L381" s="72"/>
      <c r="M381" s="72"/>
      <c r="N381" s="72"/>
      <c r="O381" s="72"/>
      <c r="P381" s="72"/>
    </row>
    <row r="382" spans="1:16">
      <c r="A382" s="70"/>
      <c r="B382" s="167"/>
      <c r="C382" s="70"/>
      <c r="D382" s="71"/>
      <c r="E382" s="72"/>
      <c r="F382" s="72"/>
      <c r="G382" s="72"/>
      <c r="H382" s="29"/>
      <c r="I382" s="29"/>
      <c r="J382" s="72"/>
      <c r="K382" s="72"/>
      <c r="L382" s="72"/>
      <c r="M382" s="72"/>
      <c r="N382" s="72"/>
      <c r="O382" s="72"/>
      <c r="P382" s="72"/>
    </row>
    <row r="383" spans="1:16">
      <c r="A383" s="70"/>
      <c r="B383" s="167"/>
      <c r="C383" s="70"/>
      <c r="D383" s="71"/>
      <c r="E383" s="72"/>
      <c r="F383" s="72"/>
      <c r="G383" s="72"/>
      <c r="H383" s="29"/>
      <c r="I383" s="29"/>
      <c r="J383" s="72"/>
      <c r="K383" s="72"/>
      <c r="L383" s="72"/>
      <c r="M383" s="72"/>
      <c r="N383" s="72"/>
      <c r="O383" s="72"/>
      <c r="P383" s="72"/>
    </row>
    <row r="384" spans="1:16">
      <c r="A384" s="70"/>
      <c r="B384" s="167"/>
      <c r="C384" s="70"/>
      <c r="D384" s="71"/>
      <c r="E384" s="72"/>
      <c r="F384" s="72"/>
      <c r="G384" s="72"/>
      <c r="H384" s="29"/>
      <c r="I384" s="29"/>
      <c r="J384" s="72"/>
      <c r="K384" s="72"/>
      <c r="L384" s="72"/>
      <c r="M384" s="72"/>
      <c r="N384" s="72"/>
      <c r="O384" s="72"/>
      <c r="P384" s="72"/>
    </row>
    <row r="385" spans="1:16">
      <c r="A385" s="70"/>
      <c r="B385" s="167"/>
      <c r="C385" s="70"/>
      <c r="D385" s="71"/>
      <c r="E385" s="72"/>
      <c r="F385" s="72"/>
      <c r="G385" s="72"/>
      <c r="H385" s="29"/>
      <c r="I385" s="29"/>
      <c r="J385" s="72"/>
      <c r="K385" s="72"/>
      <c r="L385" s="72"/>
      <c r="M385" s="72"/>
      <c r="N385" s="72"/>
      <c r="O385" s="72"/>
      <c r="P385" s="72"/>
    </row>
    <row r="386" spans="1:16">
      <c r="A386" s="70"/>
      <c r="B386" s="167"/>
      <c r="C386" s="70"/>
      <c r="D386" s="71"/>
      <c r="E386" s="72"/>
      <c r="F386" s="72"/>
      <c r="G386" s="72"/>
      <c r="H386" s="29"/>
      <c r="I386" s="29"/>
      <c r="J386" s="72"/>
      <c r="K386" s="72"/>
      <c r="L386" s="72"/>
      <c r="M386" s="72"/>
      <c r="N386" s="72"/>
      <c r="O386" s="72"/>
      <c r="P386" s="72"/>
    </row>
    <row r="387" spans="1:16">
      <c r="A387" s="70"/>
      <c r="B387" s="167"/>
      <c r="C387" s="70"/>
      <c r="D387" s="71"/>
      <c r="E387" s="72"/>
      <c r="F387" s="72"/>
      <c r="G387" s="72"/>
      <c r="H387" s="29"/>
      <c r="I387" s="29"/>
      <c r="J387" s="72"/>
      <c r="K387" s="72"/>
      <c r="L387" s="72"/>
      <c r="M387" s="72"/>
      <c r="N387" s="72"/>
      <c r="O387" s="72"/>
      <c r="P387" s="72"/>
    </row>
    <row r="388" spans="1:16">
      <c r="A388" s="70"/>
      <c r="B388" s="167"/>
      <c r="C388" s="70"/>
      <c r="D388" s="71"/>
      <c r="E388" s="72"/>
      <c r="F388" s="72"/>
      <c r="G388" s="72"/>
      <c r="H388" s="29"/>
      <c r="I388" s="29"/>
      <c r="J388" s="72"/>
      <c r="K388" s="72"/>
      <c r="L388" s="72"/>
      <c r="M388" s="72"/>
      <c r="N388" s="72"/>
      <c r="O388" s="72"/>
      <c r="P388" s="72"/>
    </row>
    <row r="389" spans="1:16">
      <c r="A389" s="70"/>
      <c r="B389" s="167"/>
      <c r="C389" s="70"/>
      <c r="D389" s="71"/>
      <c r="E389" s="72"/>
      <c r="F389" s="72"/>
      <c r="G389" s="72"/>
      <c r="H389" s="29"/>
      <c r="I389" s="29"/>
      <c r="J389" s="72"/>
      <c r="K389" s="72"/>
      <c r="L389" s="72"/>
      <c r="M389" s="72"/>
      <c r="N389" s="72"/>
      <c r="O389" s="72"/>
      <c r="P389" s="72"/>
    </row>
    <row r="390" spans="1:16">
      <c r="A390" s="70"/>
      <c r="B390" s="167"/>
      <c r="C390" s="70"/>
      <c r="D390" s="71"/>
      <c r="E390" s="72"/>
      <c r="F390" s="72"/>
      <c r="G390" s="72"/>
      <c r="H390" s="29"/>
      <c r="I390" s="29"/>
      <c r="J390" s="72"/>
      <c r="K390" s="72"/>
      <c r="L390" s="72"/>
      <c r="M390" s="72"/>
      <c r="N390" s="72"/>
      <c r="O390" s="72"/>
      <c r="P390" s="72"/>
    </row>
    <row r="391" spans="1:16">
      <c r="A391" s="70"/>
      <c r="B391" s="167"/>
      <c r="C391" s="70"/>
      <c r="D391" s="71"/>
      <c r="E391" s="72"/>
      <c r="F391" s="72"/>
      <c r="G391" s="72"/>
      <c r="H391" s="29"/>
      <c r="I391" s="29"/>
      <c r="J391" s="72"/>
      <c r="K391" s="72"/>
      <c r="L391" s="72"/>
      <c r="M391" s="72"/>
      <c r="N391" s="72"/>
      <c r="O391" s="72"/>
      <c r="P391" s="72"/>
    </row>
    <row r="392" spans="1:16">
      <c r="A392" s="70"/>
      <c r="B392" s="167"/>
      <c r="C392" s="70"/>
      <c r="D392" s="71"/>
      <c r="E392" s="72"/>
      <c r="F392" s="72"/>
      <c r="G392" s="72"/>
      <c r="H392" s="29"/>
      <c r="I392" s="29"/>
      <c r="J392" s="72"/>
      <c r="K392" s="72"/>
      <c r="L392" s="72"/>
      <c r="M392" s="72"/>
      <c r="N392" s="72"/>
      <c r="O392" s="72"/>
      <c r="P392" s="72"/>
    </row>
    <row r="393" spans="1:16">
      <c r="A393" s="70"/>
      <c r="B393" s="167"/>
      <c r="C393" s="70"/>
      <c r="D393" s="71"/>
      <c r="E393" s="72"/>
      <c r="F393" s="72"/>
      <c r="G393" s="72"/>
      <c r="H393" s="29"/>
      <c r="I393" s="29"/>
      <c r="J393" s="72"/>
      <c r="K393" s="72"/>
      <c r="L393" s="72"/>
      <c r="M393" s="72"/>
      <c r="N393" s="72"/>
      <c r="O393" s="72"/>
      <c r="P393" s="72"/>
    </row>
    <row r="394" spans="1:16">
      <c r="A394" s="70"/>
      <c r="B394" s="167"/>
      <c r="C394" s="70"/>
      <c r="D394" s="71"/>
      <c r="E394" s="72"/>
      <c r="F394" s="72"/>
      <c r="G394" s="72"/>
      <c r="H394" s="29"/>
      <c r="I394" s="29"/>
      <c r="J394" s="72"/>
      <c r="K394" s="72"/>
      <c r="L394" s="72"/>
      <c r="M394" s="72"/>
      <c r="N394" s="72"/>
      <c r="O394" s="72"/>
      <c r="P394" s="72"/>
    </row>
    <row r="395" spans="1:16">
      <c r="A395" s="70"/>
      <c r="B395" s="167"/>
      <c r="C395" s="70"/>
      <c r="D395" s="71"/>
      <c r="E395" s="72"/>
      <c r="F395" s="72"/>
      <c r="G395" s="72"/>
      <c r="H395" s="29"/>
      <c r="I395" s="29"/>
      <c r="J395" s="72"/>
      <c r="K395" s="72"/>
      <c r="L395" s="72"/>
      <c r="M395" s="72"/>
      <c r="N395" s="72"/>
      <c r="O395" s="72"/>
      <c r="P395" s="72"/>
    </row>
    <row r="396" spans="1:16">
      <c r="A396" s="70"/>
      <c r="B396" s="167"/>
      <c r="C396" s="70"/>
      <c r="D396" s="71"/>
      <c r="E396" s="72"/>
      <c r="F396" s="72"/>
      <c r="G396" s="72"/>
      <c r="H396" s="29"/>
      <c r="I396" s="29"/>
      <c r="J396" s="72"/>
      <c r="K396" s="72"/>
      <c r="L396" s="72"/>
      <c r="M396" s="72"/>
      <c r="N396" s="72"/>
      <c r="O396" s="72"/>
      <c r="P396" s="72"/>
    </row>
    <row r="397" spans="1:16">
      <c r="A397" s="70"/>
      <c r="B397" s="167"/>
      <c r="C397" s="70"/>
      <c r="D397" s="71"/>
      <c r="E397" s="72"/>
      <c r="F397" s="72"/>
      <c r="G397" s="72"/>
      <c r="H397" s="29"/>
      <c r="I397" s="29"/>
      <c r="J397" s="72"/>
      <c r="K397" s="72"/>
      <c r="L397" s="72"/>
      <c r="M397" s="72"/>
      <c r="N397" s="72"/>
      <c r="O397" s="72"/>
      <c r="P397" s="72"/>
    </row>
    <row r="398" spans="1:16">
      <c r="A398" s="70"/>
      <c r="B398" s="167"/>
      <c r="C398" s="70"/>
      <c r="D398" s="71"/>
      <c r="E398" s="72"/>
      <c r="F398" s="72"/>
      <c r="G398" s="72"/>
      <c r="H398" s="29"/>
      <c r="I398" s="29"/>
      <c r="J398" s="72"/>
      <c r="K398" s="72"/>
      <c r="L398" s="72"/>
      <c r="M398" s="72"/>
      <c r="N398" s="72"/>
      <c r="O398" s="72"/>
      <c r="P398" s="72"/>
    </row>
    <row r="399" spans="1:16">
      <c r="A399" s="70"/>
      <c r="B399" s="167"/>
      <c r="C399" s="70"/>
      <c r="D399" s="71"/>
      <c r="E399" s="72"/>
      <c r="F399" s="72"/>
      <c r="G399" s="72"/>
      <c r="H399" s="29"/>
      <c r="I399" s="29"/>
      <c r="J399" s="72"/>
      <c r="K399" s="72"/>
      <c r="L399" s="72"/>
      <c r="M399" s="72"/>
      <c r="N399" s="72"/>
      <c r="O399" s="72"/>
      <c r="P399" s="72"/>
    </row>
    <row r="400" spans="1:16">
      <c r="A400" s="70"/>
      <c r="B400" s="167"/>
      <c r="C400" s="70"/>
      <c r="D400" s="71"/>
      <c r="E400" s="72"/>
      <c r="F400" s="72"/>
      <c r="G400" s="72"/>
      <c r="H400" s="29"/>
      <c r="I400" s="29"/>
      <c r="J400" s="72"/>
      <c r="K400" s="72"/>
      <c r="L400" s="72"/>
      <c r="M400" s="72"/>
      <c r="N400" s="72"/>
      <c r="O400" s="72"/>
      <c r="P400" s="72"/>
    </row>
    <row r="401" spans="1:16">
      <c r="A401" s="70"/>
      <c r="B401" s="167"/>
      <c r="C401" s="70"/>
      <c r="D401" s="71"/>
      <c r="E401" s="72"/>
      <c r="F401" s="72"/>
      <c r="G401" s="72"/>
      <c r="H401" s="29"/>
      <c r="I401" s="29"/>
      <c r="J401" s="72"/>
      <c r="K401" s="72"/>
      <c r="L401" s="72"/>
      <c r="M401" s="72"/>
      <c r="N401" s="72"/>
      <c r="O401" s="72"/>
      <c r="P401" s="72"/>
    </row>
    <row r="402" spans="1:16">
      <c r="A402" s="70"/>
      <c r="B402" s="167"/>
      <c r="C402" s="70"/>
      <c r="D402" s="71"/>
      <c r="E402" s="72"/>
      <c r="F402" s="72"/>
      <c r="G402" s="72"/>
      <c r="H402" s="29"/>
      <c r="I402" s="29"/>
      <c r="J402" s="72"/>
      <c r="K402" s="72"/>
      <c r="L402" s="72"/>
      <c r="M402" s="72"/>
      <c r="N402" s="72"/>
      <c r="O402" s="72"/>
      <c r="P402" s="72"/>
    </row>
    <row r="403" spans="1:16">
      <c r="A403" s="70"/>
      <c r="B403" s="167"/>
      <c r="C403" s="70"/>
      <c r="D403" s="71"/>
      <c r="E403" s="72"/>
      <c r="F403" s="72"/>
      <c r="G403" s="72"/>
      <c r="H403" s="29"/>
      <c r="I403" s="29"/>
      <c r="J403" s="72"/>
      <c r="K403" s="72"/>
      <c r="L403" s="72"/>
      <c r="M403" s="72"/>
      <c r="N403" s="72"/>
      <c r="O403" s="72"/>
      <c r="P403" s="72"/>
    </row>
    <row r="404" spans="1:16">
      <c r="A404" s="70"/>
      <c r="B404" s="167"/>
      <c r="C404" s="70"/>
      <c r="D404" s="71"/>
      <c r="E404" s="72"/>
      <c r="F404" s="72"/>
      <c r="G404" s="72"/>
      <c r="H404" s="29"/>
      <c r="I404" s="29"/>
      <c r="J404" s="72"/>
      <c r="K404" s="72"/>
      <c r="L404" s="72"/>
      <c r="M404" s="72"/>
      <c r="N404" s="72"/>
      <c r="O404" s="72"/>
      <c r="P404" s="72"/>
    </row>
    <row r="405" spans="1:16">
      <c r="A405" s="70"/>
      <c r="B405" s="167"/>
      <c r="C405" s="70"/>
      <c r="D405" s="71"/>
      <c r="E405" s="72"/>
      <c r="F405" s="72"/>
      <c r="G405" s="72"/>
      <c r="H405" s="29"/>
      <c r="I405" s="29"/>
      <c r="J405" s="72"/>
      <c r="K405" s="72"/>
      <c r="L405" s="72"/>
      <c r="M405" s="72"/>
      <c r="N405" s="72"/>
      <c r="O405" s="72"/>
      <c r="P405" s="72"/>
    </row>
    <row r="406" spans="1:16">
      <c r="A406" s="70"/>
      <c r="B406" s="167"/>
      <c r="C406" s="70"/>
      <c r="D406" s="71"/>
      <c r="E406" s="72"/>
      <c r="F406" s="72"/>
      <c r="G406" s="72"/>
      <c r="H406" s="29"/>
      <c r="I406" s="29"/>
      <c r="J406" s="72"/>
      <c r="K406" s="72"/>
      <c r="L406" s="72"/>
      <c r="M406" s="72"/>
      <c r="N406" s="72"/>
      <c r="O406" s="72"/>
      <c r="P406" s="72"/>
    </row>
    <row r="407" spans="1:16">
      <c r="A407" s="70"/>
      <c r="B407" s="167"/>
      <c r="C407" s="70"/>
      <c r="D407" s="71"/>
      <c r="E407" s="72"/>
      <c r="F407" s="72"/>
      <c r="G407" s="72"/>
      <c r="H407" s="29"/>
      <c r="I407" s="29"/>
      <c r="J407" s="72"/>
      <c r="K407" s="72"/>
      <c r="L407" s="72"/>
      <c r="M407" s="72"/>
      <c r="N407" s="72"/>
      <c r="O407" s="72"/>
      <c r="P407" s="72"/>
    </row>
    <row r="408" spans="1:16">
      <c r="A408" s="70"/>
      <c r="B408" s="167"/>
      <c r="C408" s="70"/>
      <c r="D408" s="71"/>
      <c r="E408" s="72"/>
      <c r="F408" s="72"/>
      <c r="G408" s="72"/>
      <c r="H408" s="29"/>
      <c r="I408" s="29"/>
      <c r="J408" s="72"/>
      <c r="K408" s="72"/>
      <c r="L408" s="72"/>
      <c r="M408" s="72"/>
      <c r="N408" s="72"/>
      <c r="O408" s="72"/>
      <c r="P408" s="72"/>
    </row>
    <row r="409" spans="1:16">
      <c r="A409" s="70"/>
      <c r="B409" s="167"/>
      <c r="C409" s="70"/>
      <c r="D409" s="71"/>
      <c r="E409" s="72"/>
      <c r="F409" s="72"/>
      <c r="G409" s="72"/>
      <c r="H409" s="29"/>
      <c r="I409" s="29"/>
      <c r="J409" s="72"/>
      <c r="K409" s="72"/>
      <c r="L409" s="72"/>
      <c r="M409" s="72"/>
      <c r="N409" s="72"/>
      <c r="O409" s="72"/>
      <c r="P409" s="72"/>
    </row>
    <row r="410" spans="1:16">
      <c r="A410" s="70"/>
      <c r="B410" s="167"/>
      <c r="C410" s="70"/>
      <c r="D410" s="71"/>
      <c r="E410" s="72"/>
      <c r="F410" s="72"/>
      <c r="G410" s="72"/>
      <c r="H410" s="29"/>
      <c r="I410" s="29"/>
      <c r="J410" s="72"/>
      <c r="K410" s="72"/>
      <c r="L410" s="72"/>
      <c r="M410" s="72"/>
      <c r="N410" s="72"/>
      <c r="O410" s="72"/>
      <c r="P410" s="72"/>
    </row>
    <row r="411" spans="1:16">
      <c r="A411" s="70"/>
      <c r="B411" s="167"/>
      <c r="C411" s="70"/>
      <c r="D411" s="71"/>
      <c r="E411" s="72"/>
      <c r="F411" s="72"/>
      <c r="G411" s="72"/>
      <c r="H411" s="29"/>
      <c r="I411" s="29"/>
      <c r="J411" s="72"/>
      <c r="K411" s="72"/>
      <c r="L411" s="72"/>
      <c r="M411" s="72"/>
      <c r="N411" s="72"/>
      <c r="O411" s="72"/>
      <c r="P411" s="72"/>
    </row>
    <row r="412" spans="1:16">
      <c r="A412" s="70"/>
      <c r="B412" s="167"/>
      <c r="C412" s="70"/>
      <c r="D412" s="71"/>
      <c r="E412" s="72"/>
      <c r="F412" s="72"/>
      <c r="G412" s="72"/>
      <c r="H412" s="29"/>
      <c r="I412" s="29"/>
      <c r="J412" s="72"/>
      <c r="K412" s="72"/>
      <c r="L412" s="72"/>
      <c r="M412" s="72"/>
      <c r="N412" s="72"/>
      <c r="O412" s="72"/>
      <c r="P412" s="72"/>
    </row>
    <row r="413" spans="1:16">
      <c r="A413" s="70"/>
      <c r="C413" s="70"/>
      <c r="D413" s="71"/>
      <c r="E413" s="72"/>
      <c r="F413" s="72"/>
      <c r="G413" s="72"/>
      <c r="H413" s="29"/>
      <c r="I413" s="29"/>
      <c r="J413" s="72"/>
      <c r="K413" s="72"/>
      <c r="L413" s="72"/>
      <c r="M413" s="72"/>
      <c r="N413" s="72"/>
      <c r="O413" s="72"/>
      <c r="P413" s="72"/>
    </row>
    <row r="414" spans="1:16">
      <c r="A414" s="70"/>
      <c r="B414" s="168"/>
      <c r="C414" s="70"/>
      <c r="D414" s="71"/>
      <c r="E414" s="72"/>
      <c r="F414" s="72"/>
      <c r="G414" s="72"/>
      <c r="H414" s="29"/>
      <c r="I414" s="29"/>
      <c r="J414" s="72"/>
      <c r="K414" s="72"/>
      <c r="L414" s="72"/>
      <c r="M414" s="72"/>
      <c r="N414" s="72"/>
      <c r="O414" s="72"/>
      <c r="P414" s="72"/>
    </row>
    <row r="415" spans="1:16">
      <c r="A415" s="70"/>
      <c r="B415" s="169"/>
      <c r="C415" s="70"/>
      <c r="D415" s="71"/>
      <c r="E415" s="72"/>
      <c r="F415" s="72"/>
      <c r="G415" s="72"/>
      <c r="H415" s="29"/>
      <c r="I415" s="29"/>
      <c r="J415" s="72"/>
      <c r="K415" s="72"/>
      <c r="L415" s="72"/>
      <c r="M415" s="72"/>
      <c r="N415" s="72"/>
      <c r="O415" s="72"/>
      <c r="P415" s="72"/>
    </row>
    <row r="416" spans="1:16">
      <c r="A416" s="70"/>
      <c r="B416" s="170"/>
      <c r="C416" s="70"/>
      <c r="D416" s="71"/>
      <c r="E416" s="72"/>
      <c r="F416" s="72"/>
      <c r="G416" s="72"/>
      <c r="H416" s="29"/>
      <c r="I416" s="29"/>
      <c r="J416" s="72"/>
      <c r="K416" s="72"/>
      <c r="L416" s="72"/>
      <c r="M416" s="72"/>
      <c r="N416" s="72"/>
      <c r="O416" s="72"/>
      <c r="P416" s="72"/>
    </row>
    <row r="417" spans="1:16">
      <c r="A417" s="70"/>
      <c r="B417" s="170"/>
      <c r="C417" s="70"/>
      <c r="D417" s="71"/>
      <c r="E417" s="72"/>
      <c r="F417" s="72"/>
      <c r="G417" s="72"/>
      <c r="H417" s="29"/>
      <c r="I417" s="29"/>
      <c r="J417" s="72"/>
      <c r="K417" s="72"/>
      <c r="L417" s="72"/>
      <c r="M417" s="72"/>
      <c r="N417" s="72"/>
      <c r="O417" s="72"/>
      <c r="P417" s="72"/>
    </row>
    <row r="418" spans="1:16">
      <c r="A418" s="70"/>
      <c r="B418" s="170"/>
      <c r="C418" s="70"/>
      <c r="D418" s="71"/>
      <c r="E418" s="72"/>
      <c r="F418" s="72"/>
      <c r="G418" s="72"/>
      <c r="H418" s="29"/>
      <c r="I418" s="29"/>
      <c r="J418" s="72"/>
      <c r="K418" s="72"/>
      <c r="L418" s="72"/>
      <c r="M418" s="72"/>
      <c r="N418" s="72"/>
      <c r="O418" s="72"/>
      <c r="P418" s="72"/>
    </row>
    <row r="419" spans="1:16">
      <c r="A419" s="70"/>
      <c r="B419" s="171"/>
      <c r="C419" s="70"/>
      <c r="D419" s="71"/>
      <c r="E419" s="72"/>
      <c r="F419" s="72"/>
      <c r="G419" s="72"/>
      <c r="H419" s="29"/>
      <c r="I419" s="29"/>
      <c r="J419" s="72"/>
      <c r="K419" s="72"/>
      <c r="L419" s="72"/>
      <c r="M419" s="72"/>
      <c r="N419" s="72"/>
      <c r="O419" s="72"/>
      <c r="P419" s="72"/>
    </row>
    <row r="420" spans="1:16">
      <c r="A420" s="70"/>
      <c r="B420" s="171"/>
      <c r="C420" s="70"/>
      <c r="D420" s="71"/>
      <c r="E420" s="72"/>
      <c r="F420" s="72"/>
      <c r="G420" s="72"/>
      <c r="H420" s="29"/>
      <c r="I420" s="29"/>
      <c r="J420" s="72"/>
      <c r="K420" s="72"/>
      <c r="L420" s="72"/>
      <c r="M420" s="72"/>
      <c r="N420" s="72"/>
      <c r="O420" s="72"/>
      <c r="P420" s="72"/>
    </row>
    <row r="421" spans="1:16">
      <c r="A421" s="70"/>
      <c r="B421" s="171"/>
      <c r="C421" s="70"/>
      <c r="D421" s="71"/>
      <c r="E421" s="72"/>
      <c r="F421" s="72"/>
      <c r="G421" s="72"/>
      <c r="H421" s="29"/>
      <c r="I421" s="29"/>
      <c r="J421" s="72"/>
      <c r="K421" s="72"/>
      <c r="L421" s="72"/>
      <c r="M421" s="72"/>
      <c r="N421" s="72"/>
      <c r="O421" s="72"/>
      <c r="P421" s="72"/>
    </row>
    <row r="422" spans="1:16">
      <c r="A422" s="70"/>
      <c r="B422" s="171"/>
      <c r="C422" s="70"/>
      <c r="D422" s="71"/>
      <c r="E422" s="72"/>
      <c r="F422" s="72"/>
      <c r="G422" s="72"/>
      <c r="H422" s="29"/>
      <c r="I422" s="29"/>
      <c r="J422" s="72"/>
      <c r="K422" s="72"/>
      <c r="L422" s="72"/>
      <c r="M422" s="72"/>
      <c r="N422" s="72"/>
      <c r="O422" s="72"/>
      <c r="P422" s="72"/>
    </row>
    <row r="423" spans="1:16">
      <c r="A423" s="70"/>
      <c r="B423" s="171"/>
      <c r="C423" s="70"/>
      <c r="D423" s="71"/>
      <c r="E423" s="72"/>
      <c r="F423" s="72"/>
      <c r="G423" s="72"/>
      <c r="H423" s="29"/>
      <c r="I423" s="29"/>
      <c r="J423" s="72"/>
      <c r="K423" s="72"/>
      <c r="L423" s="72"/>
      <c r="M423" s="72"/>
      <c r="N423" s="72"/>
      <c r="O423" s="72"/>
      <c r="P423" s="72"/>
    </row>
    <row r="424" spans="1:16">
      <c r="A424" s="70"/>
      <c r="B424" s="170"/>
      <c r="C424" s="70"/>
      <c r="D424" s="71"/>
      <c r="E424" s="72"/>
      <c r="F424" s="72"/>
      <c r="G424" s="72"/>
      <c r="H424" s="29"/>
      <c r="I424" s="29"/>
      <c r="J424" s="72"/>
      <c r="K424" s="72"/>
      <c r="L424" s="72"/>
      <c r="M424" s="72"/>
      <c r="N424" s="72"/>
      <c r="O424" s="72"/>
      <c r="P424" s="72"/>
    </row>
    <row r="425" spans="1:16">
      <c r="A425" s="70"/>
      <c r="B425" s="170"/>
      <c r="C425" s="70"/>
      <c r="D425" s="71"/>
      <c r="E425" s="72"/>
      <c r="F425" s="72"/>
      <c r="G425" s="72"/>
      <c r="H425" s="29"/>
      <c r="I425" s="29"/>
      <c r="J425" s="72"/>
      <c r="K425" s="72"/>
      <c r="L425" s="72"/>
      <c r="M425" s="72"/>
      <c r="N425" s="72"/>
      <c r="O425" s="72"/>
      <c r="P425" s="72"/>
    </row>
    <row r="426" spans="1:16">
      <c r="A426" s="70"/>
      <c r="B426" s="170"/>
      <c r="C426" s="70"/>
      <c r="D426" s="71"/>
      <c r="E426" s="72"/>
      <c r="F426" s="72"/>
      <c r="G426" s="72"/>
      <c r="H426" s="29"/>
      <c r="I426" s="29"/>
      <c r="J426" s="72"/>
      <c r="K426" s="72"/>
      <c r="L426" s="72"/>
      <c r="M426" s="72"/>
      <c r="N426" s="72"/>
      <c r="O426" s="72"/>
      <c r="P426" s="72"/>
    </row>
    <row r="427" spans="1:16">
      <c r="A427" s="70"/>
      <c r="B427" s="170"/>
      <c r="C427" s="70"/>
      <c r="D427" s="71"/>
      <c r="E427" s="72"/>
      <c r="F427" s="72"/>
      <c r="G427" s="72"/>
      <c r="H427" s="29"/>
      <c r="I427" s="29"/>
      <c r="J427" s="72"/>
      <c r="K427" s="72"/>
      <c r="L427" s="72"/>
      <c r="M427" s="72"/>
      <c r="N427" s="72"/>
      <c r="O427" s="72"/>
      <c r="P427" s="72"/>
    </row>
    <row r="428" spans="1:16">
      <c r="A428" s="70"/>
      <c r="B428" s="172"/>
      <c r="C428" s="70"/>
      <c r="D428" s="71"/>
      <c r="E428" s="72"/>
      <c r="F428" s="72"/>
      <c r="G428" s="72"/>
      <c r="H428" s="29"/>
      <c r="I428" s="29"/>
      <c r="J428" s="72"/>
      <c r="K428" s="72"/>
      <c r="L428" s="72"/>
      <c r="M428" s="72"/>
      <c r="N428" s="72"/>
      <c r="O428" s="72"/>
      <c r="P428" s="72"/>
    </row>
    <row r="429" spans="1:16">
      <c r="A429" s="70"/>
      <c r="B429" s="172"/>
      <c r="C429" s="70"/>
      <c r="D429" s="71"/>
      <c r="E429" s="72"/>
      <c r="F429" s="72"/>
      <c r="G429" s="72"/>
      <c r="H429" s="29"/>
      <c r="I429" s="29"/>
      <c r="J429" s="72"/>
      <c r="K429" s="72"/>
      <c r="L429" s="72"/>
      <c r="M429" s="72"/>
      <c r="N429" s="72"/>
      <c r="O429" s="72"/>
      <c r="P429" s="72"/>
    </row>
    <row r="430" spans="1:16">
      <c r="A430" s="70"/>
      <c r="B430" s="172"/>
      <c r="C430" s="70"/>
      <c r="D430" s="71"/>
      <c r="E430" s="72"/>
      <c r="F430" s="72"/>
      <c r="G430" s="72"/>
      <c r="H430" s="29"/>
      <c r="I430" s="29"/>
      <c r="J430" s="72"/>
      <c r="K430" s="72"/>
      <c r="L430" s="72"/>
      <c r="M430" s="72"/>
      <c r="N430" s="72"/>
      <c r="O430" s="72"/>
      <c r="P430" s="72"/>
    </row>
    <row r="431" spans="1:16">
      <c r="A431" s="70"/>
      <c r="B431" s="173"/>
      <c r="C431" s="70"/>
      <c r="D431" s="71"/>
      <c r="E431" s="72"/>
      <c r="F431" s="72"/>
      <c r="G431" s="72"/>
      <c r="H431" s="29"/>
      <c r="I431" s="29"/>
      <c r="J431" s="72"/>
      <c r="K431" s="72"/>
      <c r="L431" s="72"/>
      <c r="M431" s="72"/>
      <c r="N431" s="72"/>
      <c r="O431" s="72"/>
      <c r="P431" s="72"/>
    </row>
    <row r="432" spans="1:16">
      <c r="A432" s="70"/>
      <c r="B432" s="173"/>
      <c r="C432" s="70"/>
      <c r="D432" s="71"/>
      <c r="E432" s="72"/>
      <c r="F432" s="72"/>
      <c r="G432" s="72"/>
      <c r="H432" s="29"/>
      <c r="I432" s="29"/>
      <c r="J432" s="72"/>
      <c r="K432" s="72"/>
      <c r="L432" s="72"/>
      <c r="M432" s="72"/>
      <c r="N432" s="72"/>
      <c r="O432" s="72"/>
      <c r="P432" s="72"/>
    </row>
    <row r="433" spans="1:16">
      <c r="A433" s="70"/>
      <c r="B433" s="173"/>
      <c r="C433" s="70"/>
      <c r="D433" s="71"/>
      <c r="E433" s="72"/>
      <c r="F433" s="72"/>
      <c r="G433" s="72"/>
      <c r="H433" s="29"/>
      <c r="I433" s="29"/>
      <c r="J433" s="72"/>
      <c r="K433" s="72"/>
      <c r="L433" s="72"/>
      <c r="M433" s="72"/>
      <c r="N433" s="72"/>
      <c r="O433" s="72"/>
      <c r="P433" s="72"/>
    </row>
    <row r="434" spans="1:16">
      <c r="A434" s="70"/>
      <c r="B434" s="174"/>
      <c r="C434" s="70"/>
      <c r="D434" s="71"/>
      <c r="E434" s="72"/>
      <c r="F434" s="72"/>
      <c r="G434" s="72"/>
      <c r="H434" s="29"/>
      <c r="I434" s="29"/>
      <c r="J434" s="72"/>
      <c r="K434" s="72"/>
      <c r="L434" s="72"/>
      <c r="M434" s="72"/>
      <c r="N434" s="72"/>
      <c r="O434" s="72"/>
      <c r="P434" s="72"/>
    </row>
    <row r="435" spans="1:16">
      <c r="A435" s="70"/>
      <c r="B435" s="174"/>
      <c r="C435" s="70"/>
      <c r="D435" s="71"/>
      <c r="E435" s="72"/>
      <c r="F435" s="72"/>
      <c r="G435" s="72"/>
      <c r="H435" s="29"/>
      <c r="I435" s="29"/>
      <c r="J435" s="72"/>
      <c r="K435" s="72"/>
      <c r="L435" s="72"/>
      <c r="M435" s="72"/>
      <c r="N435" s="72"/>
      <c r="O435" s="72"/>
      <c r="P435" s="72"/>
    </row>
    <row r="436" spans="1:16">
      <c r="A436" s="70"/>
      <c r="B436" s="175"/>
      <c r="C436" s="70"/>
      <c r="D436" s="71"/>
      <c r="E436" s="72"/>
      <c r="F436" s="72"/>
      <c r="G436" s="72"/>
      <c r="H436" s="29"/>
      <c r="I436" s="29"/>
      <c r="J436" s="72"/>
      <c r="K436" s="72"/>
      <c r="L436" s="72"/>
      <c r="M436" s="72"/>
      <c r="N436" s="72"/>
      <c r="O436" s="72"/>
      <c r="P436" s="72"/>
    </row>
    <row r="437" spans="1:16">
      <c r="A437" s="70"/>
      <c r="B437" s="169"/>
      <c r="C437" s="70"/>
      <c r="D437" s="71"/>
      <c r="E437" s="72"/>
      <c r="F437" s="72"/>
      <c r="G437" s="72"/>
      <c r="H437" s="29"/>
      <c r="I437" s="29"/>
      <c r="J437" s="72"/>
      <c r="K437" s="72"/>
      <c r="L437" s="72"/>
      <c r="M437" s="72"/>
      <c r="N437" s="72"/>
      <c r="O437" s="72"/>
      <c r="P437" s="72"/>
    </row>
    <row r="438" spans="1:16">
      <c r="A438" s="70"/>
      <c r="C438" s="70"/>
      <c r="D438" s="71"/>
      <c r="E438" s="72"/>
      <c r="F438" s="72"/>
      <c r="G438" s="72"/>
      <c r="H438" s="29"/>
      <c r="I438" s="29"/>
      <c r="J438" s="72"/>
      <c r="K438" s="72"/>
      <c r="L438" s="72"/>
      <c r="M438" s="72"/>
      <c r="N438" s="72"/>
      <c r="O438" s="72"/>
      <c r="P438" s="72"/>
    </row>
    <row r="439" spans="1:16">
      <c r="A439" s="70"/>
      <c r="B439" s="168"/>
      <c r="C439" s="70"/>
      <c r="D439" s="71"/>
      <c r="E439" s="72"/>
      <c r="F439" s="72"/>
      <c r="G439" s="72"/>
      <c r="H439" s="29"/>
      <c r="I439" s="29"/>
      <c r="J439" s="72"/>
      <c r="K439" s="72"/>
      <c r="L439" s="72"/>
      <c r="M439" s="72"/>
      <c r="N439" s="72"/>
      <c r="O439" s="72"/>
      <c r="P439" s="72"/>
    </row>
    <row r="440" spans="1:16">
      <c r="A440" s="70"/>
      <c r="B440" s="169"/>
      <c r="C440" s="70"/>
      <c r="D440" s="71"/>
      <c r="E440" s="72"/>
      <c r="F440" s="72"/>
      <c r="G440" s="72"/>
      <c r="H440" s="29"/>
      <c r="I440" s="29"/>
      <c r="J440" s="72"/>
      <c r="K440" s="72"/>
      <c r="L440" s="72"/>
      <c r="M440" s="72"/>
      <c r="N440" s="72"/>
      <c r="O440" s="72"/>
      <c r="P440" s="72"/>
    </row>
    <row r="441" spans="1:16">
      <c r="A441" s="70"/>
      <c r="B441" s="169"/>
      <c r="C441" s="70"/>
      <c r="D441" s="71"/>
      <c r="E441" s="72"/>
      <c r="F441" s="72"/>
      <c r="G441" s="72"/>
      <c r="H441" s="29"/>
      <c r="I441" s="29"/>
      <c r="J441" s="72"/>
      <c r="K441" s="72"/>
      <c r="L441" s="72"/>
      <c r="M441" s="72"/>
      <c r="N441" s="72"/>
      <c r="O441" s="72"/>
      <c r="P441" s="72"/>
    </row>
    <row r="442" spans="1:16">
      <c r="A442" s="70"/>
      <c r="B442" s="169"/>
      <c r="C442" s="70"/>
      <c r="D442" s="71"/>
      <c r="E442" s="72"/>
      <c r="F442" s="72"/>
      <c r="G442" s="72"/>
      <c r="H442" s="29"/>
      <c r="I442" s="29"/>
      <c r="J442" s="72"/>
      <c r="K442" s="72"/>
      <c r="L442" s="72"/>
      <c r="M442" s="72"/>
      <c r="N442" s="72"/>
      <c r="O442" s="72"/>
      <c r="P442" s="72"/>
    </row>
    <row r="443" spans="1:16">
      <c r="A443" s="70"/>
      <c r="B443" s="169"/>
      <c r="C443" s="70"/>
      <c r="D443" s="71"/>
      <c r="E443" s="72"/>
      <c r="F443" s="72"/>
      <c r="G443" s="72"/>
      <c r="H443" s="29"/>
      <c r="I443" s="29"/>
      <c r="J443" s="72"/>
      <c r="K443" s="72"/>
      <c r="L443" s="72"/>
      <c r="M443" s="72"/>
      <c r="N443" s="72"/>
      <c r="O443" s="72"/>
      <c r="P443" s="72"/>
    </row>
    <row r="444" spans="1:16">
      <c r="A444" s="70"/>
      <c r="B444" s="169"/>
      <c r="C444" s="70"/>
      <c r="D444" s="71"/>
      <c r="E444" s="72"/>
      <c r="F444" s="72"/>
      <c r="G444" s="72"/>
      <c r="H444" s="29"/>
      <c r="I444" s="29"/>
      <c r="J444" s="72"/>
      <c r="K444" s="72"/>
      <c r="L444" s="72"/>
      <c r="M444" s="72"/>
      <c r="N444" s="72"/>
      <c r="O444" s="72"/>
      <c r="P444" s="72"/>
    </row>
    <row r="445" spans="1:16">
      <c r="A445" s="70"/>
      <c r="B445" s="169"/>
      <c r="C445" s="70"/>
      <c r="D445" s="71"/>
      <c r="E445" s="72"/>
      <c r="F445" s="72"/>
      <c r="G445" s="72"/>
      <c r="H445" s="29"/>
      <c r="I445" s="29"/>
      <c r="J445" s="72"/>
      <c r="K445" s="72"/>
      <c r="L445" s="72"/>
      <c r="M445" s="72"/>
      <c r="N445" s="72"/>
      <c r="O445" s="72"/>
      <c r="P445" s="72"/>
    </row>
    <row r="446" spans="1:16">
      <c r="A446" s="70"/>
      <c r="B446" s="169"/>
      <c r="C446" s="70"/>
      <c r="D446" s="71"/>
      <c r="E446" s="72"/>
      <c r="F446" s="72"/>
      <c r="G446" s="72"/>
      <c r="H446" s="29"/>
      <c r="I446" s="29"/>
      <c r="J446" s="72"/>
      <c r="K446" s="72"/>
      <c r="L446" s="72"/>
      <c r="M446" s="72"/>
      <c r="N446" s="72"/>
      <c r="O446" s="72"/>
      <c r="P446" s="72"/>
    </row>
    <row r="447" spans="1:16">
      <c r="A447" s="70"/>
      <c r="B447" s="169"/>
      <c r="C447" s="70"/>
      <c r="D447" s="71"/>
      <c r="E447" s="72"/>
      <c r="F447" s="72"/>
      <c r="G447" s="72"/>
      <c r="H447" s="29"/>
      <c r="I447" s="29"/>
      <c r="J447" s="72"/>
      <c r="K447" s="72"/>
      <c r="L447" s="72"/>
      <c r="M447" s="72"/>
      <c r="N447" s="72"/>
      <c r="O447" s="72"/>
      <c r="P447" s="72"/>
    </row>
    <row r="448" spans="1:16">
      <c r="A448" s="70"/>
      <c r="B448" s="169"/>
      <c r="C448" s="70"/>
      <c r="D448" s="71"/>
      <c r="E448" s="72"/>
      <c r="F448" s="72"/>
      <c r="G448" s="72"/>
      <c r="H448" s="29"/>
      <c r="I448" s="29"/>
      <c r="J448" s="72"/>
      <c r="K448" s="72"/>
      <c r="L448" s="72"/>
      <c r="M448" s="72"/>
      <c r="N448" s="72"/>
      <c r="O448" s="72"/>
      <c r="P448" s="72"/>
    </row>
    <row r="449" spans="1:16">
      <c r="A449" s="70"/>
      <c r="B449" s="169"/>
      <c r="C449" s="70"/>
      <c r="D449" s="71"/>
      <c r="E449" s="72"/>
      <c r="F449" s="72"/>
      <c r="G449" s="72"/>
      <c r="H449" s="29"/>
      <c r="I449" s="29"/>
      <c r="J449" s="72"/>
      <c r="K449" s="72"/>
      <c r="L449" s="72"/>
      <c r="M449" s="72"/>
      <c r="N449" s="72"/>
      <c r="O449" s="72"/>
      <c r="P449" s="72"/>
    </row>
    <row r="450" spans="1:16">
      <c r="A450" s="70"/>
      <c r="B450" s="169"/>
      <c r="C450" s="70"/>
      <c r="D450" s="71"/>
      <c r="E450" s="72"/>
      <c r="F450" s="72"/>
      <c r="G450" s="72"/>
      <c r="H450" s="29"/>
      <c r="I450" s="29"/>
      <c r="J450" s="72"/>
      <c r="K450" s="72"/>
      <c r="L450" s="72"/>
      <c r="M450" s="72"/>
      <c r="N450" s="72"/>
      <c r="O450" s="72"/>
      <c r="P450" s="72"/>
    </row>
    <row r="451" spans="1:16">
      <c r="A451" s="70"/>
      <c r="B451" s="169"/>
      <c r="C451" s="70"/>
      <c r="D451" s="71"/>
      <c r="E451" s="72"/>
      <c r="F451" s="72"/>
      <c r="G451" s="72"/>
      <c r="H451" s="29"/>
      <c r="I451" s="29"/>
      <c r="J451" s="72"/>
      <c r="K451" s="72"/>
      <c r="L451" s="72"/>
      <c r="M451" s="72"/>
      <c r="N451" s="72"/>
      <c r="O451" s="72"/>
      <c r="P451" s="72"/>
    </row>
    <row r="452" spans="1:16">
      <c r="A452" s="70"/>
      <c r="B452" s="169"/>
      <c r="C452" s="70"/>
      <c r="D452" s="71"/>
      <c r="E452" s="72"/>
      <c r="F452" s="72"/>
      <c r="G452" s="72"/>
      <c r="H452" s="29"/>
      <c r="I452" s="29"/>
      <c r="J452" s="72"/>
      <c r="K452" s="72"/>
      <c r="L452" s="72"/>
      <c r="M452" s="72"/>
      <c r="N452" s="72"/>
      <c r="O452" s="72"/>
      <c r="P452" s="72"/>
    </row>
    <row r="453" spans="1:16">
      <c r="A453" s="70"/>
      <c r="B453" s="176"/>
      <c r="C453" s="70"/>
      <c r="D453" s="71"/>
      <c r="E453" s="72"/>
      <c r="F453" s="72"/>
      <c r="G453" s="72"/>
      <c r="H453" s="29"/>
      <c r="I453" s="29"/>
      <c r="J453" s="72"/>
      <c r="K453" s="72"/>
      <c r="L453" s="72"/>
      <c r="M453" s="72"/>
      <c r="N453" s="72"/>
      <c r="O453" s="72"/>
      <c r="P453" s="72"/>
    </row>
    <row r="454" spans="1:16">
      <c r="B454" s="176"/>
      <c r="C454" s="177"/>
      <c r="D454" s="178" t="s">
        <v>57</v>
      </c>
      <c r="E454" s="179" t="s">
        <v>58</v>
      </c>
      <c r="F454" s="76" t="s">
        <v>59</v>
      </c>
      <c r="G454" s="76"/>
      <c r="H454" s="180" t="s">
        <v>60</v>
      </c>
      <c r="J454" s="181"/>
      <c r="K454" s="181"/>
      <c r="N454" s="181"/>
      <c r="O454" s="181"/>
      <c r="P454" s="182"/>
    </row>
    <row r="455" spans="1:16">
      <c r="A455" s="183">
        <f>SUM(A456:A476)</f>
        <v>132</v>
      </c>
      <c r="B455" s="168"/>
      <c r="C455" s="79" t="s">
        <v>61</v>
      </c>
      <c r="D455" s="184"/>
      <c r="E455" s="185"/>
      <c r="F455" s="76"/>
      <c r="G455" s="76"/>
      <c r="H455" s="186"/>
      <c r="I455" s="187">
        <v>312.98799999999994</v>
      </c>
      <c r="J455" s="181"/>
      <c r="K455" s="181"/>
      <c r="L455" s="187">
        <f>SUM(L457:L476)</f>
        <v>857.07999999999993</v>
      </c>
      <c r="M455" s="187">
        <f>SUM(M457:M476)</f>
        <v>173.30999999999997</v>
      </c>
      <c r="N455" s="181"/>
      <c r="O455" s="181"/>
      <c r="P455" s="182"/>
    </row>
    <row r="456" spans="1:16">
      <c r="A456" s="83"/>
      <c r="B456" s="176"/>
      <c r="C456" s="188"/>
      <c r="D456" s="184"/>
      <c r="E456" s="185"/>
      <c r="F456" s="76"/>
      <c r="G456" s="76"/>
      <c r="H456" s="186"/>
      <c r="I456" s="187"/>
      <c r="J456" s="181"/>
      <c r="K456" s="181"/>
      <c r="L456" s="187"/>
      <c r="M456" s="187"/>
      <c r="N456" s="181"/>
      <c r="O456" s="181"/>
      <c r="P456" s="182"/>
    </row>
    <row r="457" spans="1:16">
      <c r="A457" s="85">
        <f>1</f>
        <v>1</v>
      </c>
      <c r="B457" s="189"/>
      <c r="C457" s="188" t="s">
        <v>62</v>
      </c>
      <c r="D457" s="190">
        <f>0.97</f>
        <v>0.97</v>
      </c>
      <c r="E457" s="191">
        <f>0.57</f>
        <v>0.56999999999999995</v>
      </c>
      <c r="F457" s="88">
        <v>0.55289999999999995</v>
      </c>
      <c r="G457" s="88"/>
      <c r="H457" s="192">
        <v>3.08</v>
      </c>
      <c r="I457" s="192">
        <v>0.55289999999999995</v>
      </c>
      <c r="J457" s="181"/>
      <c r="K457" s="181"/>
      <c r="L457" s="192">
        <f t="shared" ref="L457:L476" si="0">A457*(H457-D457)</f>
        <v>2.1100000000000003</v>
      </c>
      <c r="M457" s="192">
        <f t="shared" ref="M457:M476" si="1">A457*D457</f>
        <v>0.97</v>
      </c>
      <c r="N457" s="181"/>
      <c r="O457" s="181"/>
      <c r="P457" s="193"/>
    </row>
    <row r="458" spans="1:16">
      <c r="A458" s="85">
        <f>1</f>
        <v>1</v>
      </c>
      <c r="B458" s="189"/>
      <c r="C458" s="188" t="s">
        <v>63</v>
      </c>
      <c r="D458" s="190">
        <f>0.97</f>
        <v>0.97</v>
      </c>
      <c r="E458" s="191">
        <f>0.57</f>
        <v>0.56999999999999995</v>
      </c>
      <c r="F458" s="88">
        <v>0.55289999999999995</v>
      </c>
      <c r="G458" s="88"/>
      <c r="H458" s="192">
        <v>3.08</v>
      </c>
      <c r="I458" s="192">
        <v>0.55289999999999995</v>
      </c>
      <c r="J458" s="181"/>
      <c r="K458" s="181"/>
      <c r="L458" s="192">
        <f t="shared" si="0"/>
        <v>2.1100000000000003</v>
      </c>
      <c r="M458" s="192">
        <f t="shared" si="1"/>
        <v>0.97</v>
      </c>
      <c r="N458" s="181"/>
      <c r="O458" s="181"/>
      <c r="P458" s="181"/>
    </row>
    <row r="459" spans="1:16">
      <c r="A459" s="85">
        <f>1</f>
        <v>1</v>
      </c>
      <c r="B459" s="189"/>
      <c r="C459" s="188" t="s">
        <v>64</v>
      </c>
      <c r="D459" s="190">
        <f>2.97</f>
        <v>2.97</v>
      </c>
      <c r="E459" s="191">
        <f>0.57</f>
        <v>0.56999999999999995</v>
      </c>
      <c r="F459" s="88">
        <v>1.6929000000000001</v>
      </c>
      <c r="G459" s="88"/>
      <c r="H459" s="192">
        <v>8.2200000000000006</v>
      </c>
      <c r="I459" s="192">
        <v>1.6929000000000001</v>
      </c>
      <c r="J459" s="181"/>
      <c r="K459" s="181"/>
      <c r="L459" s="192">
        <f t="shared" si="0"/>
        <v>5.25</v>
      </c>
      <c r="M459" s="192">
        <f t="shared" si="1"/>
        <v>2.97</v>
      </c>
      <c r="N459" s="181"/>
      <c r="O459" s="181"/>
      <c r="P459" s="181"/>
    </row>
    <row r="460" spans="1:16">
      <c r="A460" s="90">
        <f>1</f>
        <v>1</v>
      </c>
      <c r="B460" s="189"/>
      <c r="C460" s="188" t="s">
        <v>65</v>
      </c>
      <c r="D460" s="190">
        <f>0.53</f>
        <v>0.53</v>
      </c>
      <c r="E460" s="191">
        <f t="shared" ref="E460:E466" si="2">1.77</f>
        <v>1.77</v>
      </c>
      <c r="F460" s="88">
        <v>0.93810000000000004</v>
      </c>
      <c r="G460" s="88"/>
      <c r="H460" s="192">
        <v>4.5999999999999996</v>
      </c>
      <c r="I460" s="192">
        <v>0.93810000000000004</v>
      </c>
      <c r="J460" s="181"/>
      <c r="K460" s="181"/>
      <c r="L460" s="192">
        <f t="shared" si="0"/>
        <v>4.0699999999999994</v>
      </c>
      <c r="M460" s="192">
        <f t="shared" si="1"/>
        <v>0.53</v>
      </c>
      <c r="N460" s="181"/>
      <c r="O460" s="181"/>
      <c r="P460" s="181"/>
    </row>
    <row r="461" spans="1:16">
      <c r="A461" s="90">
        <f>1</f>
        <v>1</v>
      </c>
      <c r="B461" s="189"/>
      <c r="C461" s="188" t="s">
        <v>66</v>
      </c>
      <c r="D461" s="190">
        <f>0.77</f>
        <v>0.77</v>
      </c>
      <c r="E461" s="191">
        <f t="shared" si="2"/>
        <v>1.77</v>
      </c>
      <c r="F461" s="88">
        <v>1.3629</v>
      </c>
      <c r="G461" s="88"/>
      <c r="H461" s="192">
        <v>5.08</v>
      </c>
      <c r="I461" s="192">
        <v>1.3629</v>
      </c>
      <c r="J461" s="181"/>
      <c r="K461" s="181"/>
      <c r="L461" s="192">
        <f t="shared" si="0"/>
        <v>4.3100000000000005</v>
      </c>
      <c r="M461" s="192">
        <f t="shared" si="1"/>
        <v>0.77</v>
      </c>
      <c r="N461" s="181"/>
      <c r="O461" s="181"/>
      <c r="P461" s="181"/>
    </row>
    <row r="462" spans="1:16">
      <c r="A462" s="90">
        <f>1</f>
        <v>1</v>
      </c>
      <c r="B462" s="189"/>
      <c r="C462" s="188" t="s">
        <v>67</v>
      </c>
      <c r="D462" s="190">
        <f>0.77</f>
        <v>0.77</v>
      </c>
      <c r="E462" s="191">
        <f t="shared" si="2"/>
        <v>1.77</v>
      </c>
      <c r="F462" s="88">
        <v>1.3629</v>
      </c>
      <c r="G462" s="88"/>
      <c r="H462" s="192">
        <v>5.08</v>
      </c>
      <c r="I462" s="192">
        <v>1.3629</v>
      </c>
      <c r="J462" s="181"/>
      <c r="K462" s="181"/>
      <c r="L462" s="192">
        <f t="shared" si="0"/>
        <v>4.3100000000000005</v>
      </c>
      <c r="M462" s="192">
        <f t="shared" si="1"/>
        <v>0.77</v>
      </c>
      <c r="N462" s="181"/>
      <c r="O462" s="181"/>
      <c r="P462" s="181"/>
    </row>
    <row r="463" spans="1:16">
      <c r="A463" s="90">
        <f>10+16</f>
        <v>26</v>
      </c>
      <c r="B463" s="189"/>
      <c r="C463" s="188" t="s">
        <v>68</v>
      </c>
      <c r="D463" s="190">
        <f>1.17</f>
        <v>1.17</v>
      </c>
      <c r="E463" s="191">
        <f t="shared" si="2"/>
        <v>1.77</v>
      </c>
      <c r="F463" s="88">
        <v>2.0709</v>
      </c>
      <c r="G463" s="88"/>
      <c r="H463" s="192">
        <v>5.88</v>
      </c>
      <c r="I463" s="192">
        <v>53.843400000000003</v>
      </c>
      <c r="J463" s="181"/>
      <c r="K463" s="181"/>
      <c r="L463" s="192">
        <f t="shared" si="0"/>
        <v>122.46</v>
      </c>
      <c r="M463" s="192">
        <f t="shared" si="1"/>
        <v>30.419999999999998</v>
      </c>
      <c r="N463" s="181"/>
      <c r="O463" s="181"/>
      <c r="P463" s="181"/>
    </row>
    <row r="464" spans="1:16">
      <c r="A464" s="90">
        <f>10+13</f>
        <v>23</v>
      </c>
      <c r="B464" s="189"/>
      <c r="C464" s="188" t="s">
        <v>69</v>
      </c>
      <c r="D464" s="190">
        <f>1.17</f>
        <v>1.17</v>
      </c>
      <c r="E464" s="191">
        <f t="shared" si="2"/>
        <v>1.77</v>
      </c>
      <c r="F464" s="88">
        <v>2.0709</v>
      </c>
      <c r="G464" s="88"/>
      <c r="H464" s="192">
        <v>5.88</v>
      </c>
      <c r="I464" s="192">
        <v>47.630699999999997</v>
      </c>
      <c r="J464" s="181"/>
      <c r="K464" s="181"/>
      <c r="L464" s="192">
        <f t="shared" si="0"/>
        <v>108.33</v>
      </c>
      <c r="M464" s="192">
        <f t="shared" si="1"/>
        <v>26.909999999999997</v>
      </c>
      <c r="N464" s="181"/>
      <c r="O464" s="181"/>
      <c r="P464" s="181"/>
    </row>
    <row r="465" spans="1:16">
      <c r="A465" s="85">
        <f>8+14</f>
        <v>22</v>
      </c>
      <c r="B465" s="189"/>
      <c r="C465" s="188" t="s">
        <v>70</v>
      </c>
      <c r="D465" s="190">
        <f>1.57</f>
        <v>1.57</v>
      </c>
      <c r="E465" s="191">
        <f t="shared" si="2"/>
        <v>1.77</v>
      </c>
      <c r="F465" s="88">
        <v>2.7789000000000001</v>
      </c>
      <c r="G465" s="88"/>
      <c r="H465" s="192">
        <v>10.02</v>
      </c>
      <c r="I465" s="192">
        <v>61.135800000000003</v>
      </c>
      <c r="J465" s="181"/>
      <c r="K465" s="181"/>
      <c r="L465" s="192">
        <f t="shared" si="0"/>
        <v>185.89999999999998</v>
      </c>
      <c r="M465" s="192">
        <f t="shared" si="1"/>
        <v>34.54</v>
      </c>
      <c r="N465" s="181"/>
      <c r="O465" s="181"/>
      <c r="P465" s="181"/>
    </row>
    <row r="466" spans="1:16">
      <c r="A466" s="85">
        <f>7+13</f>
        <v>20</v>
      </c>
      <c r="B466" s="189"/>
      <c r="C466" s="188" t="s">
        <v>71</v>
      </c>
      <c r="D466" s="190">
        <f>1.57</f>
        <v>1.57</v>
      </c>
      <c r="E466" s="191">
        <f t="shared" si="2"/>
        <v>1.77</v>
      </c>
      <c r="F466" s="88">
        <v>2.7789000000000001</v>
      </c>
      <c r="G466" s="88"/>
      <c r="H466" s="192">
        <v>10.02</v>
      </c>
      <c r="I466" s="192">
        <v>55.578000000000003</v>
      </c>
      <c r="J466" s="181"/>
      <c r="K466" s="181"/>
      <c r="L466" s="192">
        <f t="shared" si="0"/>
        <v>169</v>
      </c>
      <c r="M466" s="192">
        <f t="shared" si="1"/>
        <v>31.400000000000002</v>
      </c>
      <c r="N466" s="181"/>
      <c r="O466" s="181"/>
      <c r="P466" s="181"/>
    </row>
    <row r="467" spans="1:16">
      <c r="A467" s="85">
        <f>6</f>
        <v>6</v>
      </c>
      <c r="B467" s="168"/>
      <c r="C467" s="188" t="s">
        <v>72</v>
      </c>
      <c r="D467" s="190">
        <f>1.17</f>
        <v>1.17</v>
      </c>
      <c r="E467" s="191">
        <f>2.07</f>
        <v>2.0699999999999998</v>
      </c>
      <c r="F467" s="88">
        <v>2.4218999999999995</v>
      </c>
      <c r="G467" s="88"/>
      <c r="H467" s="192">
        <v>7.65</v>
      </c>
      <c r="I467" s="192">
        <v>14.531399999999998</v>
      </c>
      <c r="J467" s="181"/>
      <c r="K467" s="181"/>
      <c r="L467" s="192">
        <f t="shared" si="0"/>
        <v>38.880000000000003</v>
      </c>
      <c r="M467" s="192">
        <f t="shared" si="1"/>
        <v>7.02</v>
      </c>
      <c r="N467" s="181"/>
      <c r="O467" s="181"/>
      <c r="P467" s="181"/>
    </row>
    <row r="468" spans="1:16">
      <c r="A468" s="85">
        <f>3+1+1</f>
        <v>5</v>
      </c>
      <c r="B468" s="169"/>
      <c r="C468" s="188" t="s">
        <v>73</v>
      </c>
      <c r="D468" s="190">
        <f>1.17</f>
        <v>1.17</v>
      </c>
      <c r="E468" s="191">
        <f>2.07</f>
        <v>2.0699999999999998</v>
      </c>
      <c r="F468" s="88">
        <v>2.4218999999999995</v>
      </c>
      <c r="G468" s="88"/>
      <c r="H468" s="192">
        <v>7.65</v>
      </c>
      <c r="I468" s="192">
        <v>12.109499999999997</v>
      </c>
      <c r="J468" s="181"/>
      <c r="K468" s="181"/>
      <c r="L468" s="192">
        <f t="shared" si="0"/>
        <v>32.400000000000006</v>
      </c>
      <c r="M468" s="192">
        <f t="shared" si="1"/>
        <v>5.85</v>
      </c>
      <c r="N468" s="181"/>
      <c r="O468" s="181"/>
      <c r="P468" s="181"/>
    </row>
    <row r="469" spans="1:16">
      <c r="A469" s="91">
        <f>1</f>
        <v>1</v>
      </c>
      <c r="B469" s="169"/>
      <c r="C469" s="188" t="s">
        <v>74</v>
      </c>
      <c r="D469" s="190">
        <f>0.97</f>
        <v>0.97</v>
      </c>
      <c r="E469" s="191">
        <f>0.57</f>
        <v>0.56999999999999995</v>
      </c>
      <c r="F469" s="88">
        <v>0.55289999999999995</v>
      </c>
      <c r="G469" s="88"/>
      <c r="H469" s="192">
        <v>3.08</v>
      </c>
      <c r="I469" s="192">
        <v>0.55289999999999995</v>
      </c>
      <c r="J469" s="181"/>
      <c r="K469" s="181"/>
      <c r="L469" s="192">
        <f t="shared" si="0"/>
        <v>2.1100000000000003</v>
      </c>
      <c r="M469" s="192">
        <f t="shared" si="1"/>
        <v>0.97</v>
      </c>
      <c r="N469" s="181"/>
      <c r="O469" s="181"/>
      <c r="P469" s="181"/>
    </row>
    <row r="470" spans="1:16">
      <c r="A470" s="91">
        <f>1</f>
        <v>1</v>
      </c>
      <c r="B470" s="169"/>
      <c r="C470" s="188" t="s">
        <v>75</v>
      </c>
      <c r="D470" s="190">
        <f>2.62</f>
        <v>2.62</v>
      </c>
      <c r="E470" s="191">
        <f>2.07</f>
        <v>2.0699999999999998</v>
      </c>
      <c r="F470" s="88">
        <v>5.4234</v>
      </c>
      <c r="G470" s="88"/>
      <c r="H470" s="192">
        <v>14.07</v>
      </c>
      <c r="I470" s="192">
        <v>5.4234</v>
      </c>
      <c r="J470" s="181"/>
      <c r="K470" s="181"/>
      <c r="L470" s="192">
        <f t="shared" si="0"/>
        <v>11.45</v>
      </c>
      <c r="M470" s="192">
        <f t="shared" si="1"/>
        <v>2.62</v>
      </c>
      <c r="N470" s="181"/>
      <c r="O470" s="181"/>
      <c r="P470" s="181"/>
    </row>
    <row r="471" spans="1:16">
      <c r="A471" s="91">
        <f>10</f>
        <v>10</v>
      </c>
      <c r="B471" s="169"/>
      <c r="C471" s="188" t="s">
        <v>76</v>
      </c>
      <c r="D471" s="190">
        <f>0.77</f>
        <v>0.77</v>
      </c>
      <c r="E471" s="191">
        <f>3.37</f>
        <v>3.37</v>
      </c>
      <c r="F471" s="88">
        <v>2.5949</v>
      </c>
      <c r="G471" s="88"/>
      <c r="H471" s="192">
        <v>9.82</v>
      </c>
      <c r="I471" s="192">
        <v>25.948999999999998</v>
      </c>
      <c r="J471" s="181"/>
      <c r="K471" s="181"/>
      <c r="L471" s="192">
        <f t="shared" si="0"/>
        <v>90.5</v>
      </c>
      <c r="M471" s="192">
        <f t="shared" si="1"/>
        <v>7.7</v>
      </c>
      <c r="N471" s="181"/>
      <c r="O471" s="181"/>
      <c r="P471" s="181"/>
    </row>
    <row r="472" spans="1:16">
      <c r="A472" s="92">
        <f>3</f>
        <v>3</v>
      </c>
      <c r="B472" s="169"/>
      <c r="C472" s="188" t="s">
        <v>77</v>
      </c>
      <c r="D472" s="190">
        <f>2.62</f>
        <v>2.62</v>
      </c>
      <c r="E472" s="191">
        <f>1.65</f>
        <v>1.65</v>
      </c>
      <c r="F472" s="88">
        <v>4.3229999999999995</v>
      </c>
      <c r="G472" s="88"/>
      <c r="H472" s="192">
        <v>11.84</v>
      </c>
      <c r="I472" s="192">
        <v>12.968999999999998</v>
      </c>
      <c r="J472" s="181"/>
      <c r="K472" s="181"/>
      <c r="L472" s="192">
        <f t="shared" si="0"/>
        <v>27.659999999999997</v>
      </c>
      <c r="M472" s="192">
        <f t="shared" si="1"/>
        <v>7.86</v>
      </c>
      <c r="N472" s="181"/>
      <c r="O472" s="181"/>
      <c r="P472" s="181"/>
    </row>
    <row r="473" spans="1:16">
      <c r="A473" s="92">
        <f>1</f>
        <v>1</v>
      </c>
      <c r="B473" s="169"/>
      <c r="C473" s="188" t="s">
        <v>78</v>
      </c>
      <c r="D473" s="190">
        <f>0.92</f>
        <v>0.92</v>
      </c>
      <c r="E473" s="191">
        <f>1.87</f>
        <v>1.87</v>
      </c>
      <c r="F473" s="88">
        <v>1.7204000000000002</v>
      </c>
      <c r="G473" s="88"/>
      <c r="H473" s="192">
        <v>6.5</v>
      </c>
      <c r="I473" s="192">
        <v>1.7204000000000002</v>
      </c>
      <c r="J473" s="181"/>
      <c r="K473" s="181"/>
      <c r="L473" s="192">
        <f t="shared" si="0"/>
        <v>5.58</v>
      </c>
      <c r="M473" s="192">
        <f t="shared" si="1"/>
        <v>0.92</v>
      </c>
      <c r="N473" s="181"/>
      <c r="O473" s="181"/>
      <c r="P473" s="181"/>
    </row>
    <row r="474" spans="1:16">
      <c r="A474" s="92">
        <f>2</f>
        <v>2</v>
      </c>
      <c r="B474" s="169"/>
      <c r="C474" s="188" t="s">
        <v>79</v>
      </c>
      <c r="D474" s="190">
        <f>1.85</f>
        <v>1.85</v>
      </c>
      <c r="E474" s="191">
        <f>1.57</f>
        <v>1.57</v>
      </c>
      <c r="F474" s="88">
        <v>1.8592500000000001</v>
      </c>
      <c r="G474" s="88"/>
      <c r="H474" s="192">
        <v>8.3450000000000006</v>
      </c>
      <c r="I474" s="192">
        <v>3.7185000000000001</v>
      </c>
      <c r="J474" s="181"/>
      <c r="K474" s="181"/>
      <c r="L474" s="192">
        <f t="shared" si="0"/>
        <v>12.990000000000002</v>
      </c>
      <c r="M474" s="192">
        <f t="shared" si="1"/>
        <v>3.7</v>
      </c>
      <c r="N474" s="181"/>
      <c r="O474" s="181"/>
      <c r="P474" s="181"/>
    </row>
    <row r="475" spans="1:16">
      <c r="A475" s="93">
        <f>3</f>
        <v>3</v>
      </c>
      <c r="B475" s="169"/>
      <c r="C475" s="188" t="s">
        <v>80</v>
      </c>
      <c r="D475" s="190">
        <f>0.97</f>
        <v>0.97</v>
      </c>
      <c r="E475" s="191">
        <f>1.77</f>
        <v>1.77</v>
      </c>
      <c r="F475" s="88">
        <v>1.7168999999999999</v>
      </c>
      <c r="G475" s="88"/>
      <c r="H475" s="192">
        <v>5.48</v>
      </c>
      <c r="I475" s="192">
        <v>5.1506999999999996</v>
      </c>
      <c r="J475" s="181"/>
      <c r="K475" s="181"/>
      <c r="L475" s="192">
        <f t="shared" si="0"/>
        <v>13.530000000000001</v>
      </c>
      <c r="M475" s="192">
        <f t="shared" si="1"/>
        <v>2.91</v>
      </c>
      <c r="N475" s="181"/>
      <c r="O475" s="181"/>
      <c r="P475" s="181"/>
    </row>
    <row r="476" spans="1:16">
      <c r="A476" s="93">
        <f>3</f>
        <v>3</v>
      </c>
      <c r="C476" s="188" t="s">
        <v>68</v>
      </c>
      <c r="D476" s="190">
        <f>1.17</f>
        <v>1.17</v>
      </c>
      <c r="E476" s="191">
        <f>1.77</f>
        <v>1.77</v>
      </c>
      <c r="F476" s="88">
        <v>2.0709</v>
      </c>
      <c r="G476" s="88"/>
      <c r="H476" s="192">
        <v>5.88</v>
      </c>
      <c r="I476" s="192">
        <v>6.2126999999999999</v>
      </c>
      <c r="J476" s="181"/>
      <c r="K476" s="181"/>
      <c r="L476" s="192">
        <f t="shared" si="0"/>
        <v>14.129999999999999</v>
      </c>
      <c r="M476" s="192">
        <f t="shared" si="1"/>
        <v>3.51</v>
      </c>
      <c r="N476" s="181"/>
      <c r="O476" s="181"/>
      <c r="P476" s="181"/>
    </row>
    <row r="477" spans="1:16">
      <c r="A477" s="29"/>
      <c r="D477" s="29"/>
      <c r="E477" s="29"/>
      <c r="H477" s="29"/>
      <c r="I477" s="29"/>
      <c r="O477" s="181"/>
      <c r="P477" s="181"/>
    </row>
    <row r="478" spans="1:16">
      <c r="A478" s="83">
        <f>A458+A462+A465+A470</f>
        <v>25</v>
      </c>
      <c r="C478" s="188"/>
      <c r="D478" s="190"/>
      <c r="E478" s="191"/>
      <c r="F478" s="88"/>
      <c r="G478" s="88"/>
      <c r="H478" s="192">
        <v>1.135</v>
      </c>
      <c r="I478" s="192"/>
      <c r="J478" s="181"/>
      <c r="K478" s="181"/>
      <c r="L478" s="192"/>
      <c r="M478" s="192"/>
      <c r="N478" s="181"/>
      <c r="O478" s="181"/>
      <c r="P478" s="181"/>
    </row>
    <row r="479" spans="1:16">
      <c r="A479" s="28">
        <f>A459+A466</f>
        <v>21</v>
      </c>
      <c r="C479" s="188"/>
      <c r="D479" s="190"/>
      <c r="E479" s="191"/>
      <c r="F479" s="88"/>
      <c r="G479" s="88"/>
      <c r="H479" s="192"/>
      <c r="I479" s="192"/>
      <c r="J479" s="181"/>
      <c r="K479" s="181"/>
      <c r="L479" s="192"/>
      <c r="M479" s="192"/>
      <c r="N479" s="181"/>
      <c r="O479" s="181"/>
      <c r="P479" s="181"/>
    </row>
    <row r="480" spans="1:16">
      <c r="A480" s="183">
        <f>SUM(A481:A494)</f>
        <v>13</v>
      </c>
      <c r="C480" s="79" t="s">
        <v>81</v>
      </c>
      <c r="D480" s="190"/>
      <c r="E480" s="191"/>
      <c r="F480" s="88"/>
      <c r="G480" s="88"/>
      <c r="H480" s="192"/>
      <c r="I480" s="187">
        <v>123.65119999999999</v>
      </c>
      <c r="J480" s="181"/>
      <c r="K480" s="181"/>
      <c r="L480" s="187">
        <f>SUM(L481:L494)</f>
        <v>333.67</v>
      </c>
      <c r="M480" s="187">
        <f>SUM(M481:M494)</f>
        <v>25.910000000000004</v>
      </c>
      <c r="N480" s="181"/>
      <c r="O480" s="181"/>
      <c r="P480" s="181"/>
    </row>
    <row r="481" spans="1:16">
      <c r="A481" s="83"/>
      <c r="C481" s="79"/>
      <c r="D481" s="190"/>
      <c r="E481" s="191"/>
      <c r="F481" s="88"/>
      <c r="G481" s="88"/>
      <c r="H481" s="192"/>
      <c r="I481" s="187"/>
      <c r="J481" s="181"/>
      <c r="K481" s="181"/>
      <c r="L481" s="187"/>
      <c r="M481" s="187"/>
      <c r="N481" s="181"/>
      <c r="O481" s="181"/>
      <c r="P481" s="181"/>
    </row>
    <row r="482" spans="1:16">
      <c r="A482" s="83">
        <f>1</f>
        <v>1</v>
      </c>
      <c r="C482" s="188" t="s">
        <v>82</v>
      </c>
      <c r="D482" s="190">
        <f>2.53</f>
        <v>2.5299999999999998</v>
      </c>
      <c r="E482" s="191">
        <f>2.92</f>
        <v>2.92</v>
      </c>
      <c r="F482" s="88">
        <v>7.3875999999999991</v>
      </c>
      <c r="G482" s="88"/>
      <c r="H482" s="192">
        <v>21.41</v>
      </c>
      <c r="I482" s="192">
        <v>7.3875999999999991</v>
      </c>
      <c r="J482" s="181"/>
      <c r="K482" s="181"/>
      <c r="L482" s="192">
        <f t="shared" ref="L482:L493" si="3">A482*(H482-D482)</f>
        <v>18.88</v>
      </c>
      <c r="M482" s="192">
        <f t="shared" ref="M482:M493" si="4">A482*D482</f>
        <v>2.5299999999999998</v>
      </c>
      <c r="N482" s="181"/>
      <c r="O482" s="181"/>
      <c r="P482" s="181"/>
    </row>
    <row r="483" spans="1:16">
      <c r="A483" s="83">
        <f>1</f>
        <v>1</v>
      </c>
      <c r="C483" s="188" t="s">
        <v>83</v>
      </c>
      <c r="D483" s="190">
        <f>3.47</f>
        <v>3.47</v>
      </c>
      <c r="E483" s="191">
        <f>2.92</f>
        <v>2.92</v>
      </c>
      <c r="F483" s="88">
        <v>10.132400000000001</v>
      </c>
      <c r="G483" s="88"/>
      <c r="H483" s="192">
        <v>29.03</v>
      </c>
      <c r="I483" s="192">
        <v>10.132400000000001</v>
      </c>
      <c r="J483" s="181"/>
      <c r="K483" s="181"/>
      <c r="L483" s="192">
        <f t="shared" si="3"/>
        <v>25.560000000000002</v>
      </c>
      <c r="M483" s="192">
        <f t="shared" si="4"/>
        <v>3.47</v>
      </c>
      <c r="N483" s="181"/>
      <c r="O483" s="181"/>
      <c r="P483" s="181"/>
    </row>
    <row r="484" spans="1:16">
      <c r="A484" s="83">
        <f>1</f>
        <v>1</v>
      </c>
      <c r="B484" s="194"/>
      <c r="C484" s="188" t="s">
        <v>84</v>
      </c>
      <c r="D484" s="190">
        <f>1.12</f>
        <v>1.1200000000000001</v>
      </c>
      <c r="E484" s="191">
        <f>6.5</f>
        <v>6.5</v>
      </c>
      <c r="F484" s="88">
        <v>7.28</v>
      </c>
      <c r="G484" s="88"/>
      <c r="H484" s="192">
        <v>20.84</v>
      </c>
      <c r="I484" s="192">
        <v>7.28</v>
      </c>
      <c r="J484" s="181"/>
      <c r="K484" s="181"/>
      <c r="L484" s="192">
        <f t="shared" si="3"/>
        <v>19.72</v>
      </c>
      <c r="M484" s="192">
        <f t="shared" si="4"/>
        <v>1.1200000000000001</v>
      </c>
      <c r="N484" s="181"/>
      <c r="O484" s="181"/>
      <c r="P484" s="181"/>
    </row>
    <row r="485" spans="1:16">
      <c r="A485" s="83">
        <f>1</f>
        <v>1</v>
      </c>
      <c r="B485" s="167"/>
      <c r="C485" s="188" t="s">
        <v>85</v>
      </c>
      <c r="D485" s="190">
        <f>1.23</f>
        <v>1.23</v>
      </c>
      <c r="E485" s="191">
        <f>6.5</f>
        <v>6.5</v>
      </c>
      <c r="F485" s="88">
        <v>7.9950000000000001</v>
      </c>
      <c r="G485" s="88"/>
      <c r="H485" s="192">
        <v>22.84</v>
      </c>
      <c r="I485" s="192">
        <v>7.9950000000000001</v>
      </c>
      <c r="J485" s="181"/>
      <c r="K485" s="181"/>
      <c r="L485" s="192">
        <f t="shared" si="3"/>
        <v>21.61</v>
      </c>
      <c r="M485" s="192">
        <f t="shared" si="4"/>
        <v>1.23</v>
      </c>
      <c r="N485" s="181"/>
      <c r="O485" s="181"/>
      <c r="P485" s="181"/>
    </row>
    <row r="486" spans="1:16">
      <c r="A486" s="83">
        <f>1+1</f>
        <v>2</v>
      </c>
      <c r="C486" s="188" t="s">
        <v>86</v>
      </c>
      <c r="D486" s="190">
        <f>3.02</f>
        <v>3.02</v>
      </c>
      <c r="E486" s="191">
        <f>2.92</f>
        <v>2.92</v>
      </c>
      <c r="F486" s="88">
        <v>8.8184000000000005</v>
      </c>
      <c r="G486" s="88"/>
      <c r="H486" s="192">
        <v>26.78</v>
      </c>
      <c r="I486" s="192">
        <v>17.636800000000001</v>
      </c>
      <c r="J486" s="181"/>
      <c r="K486" s="181"/>
      <c r="L486" s="192">
        <f t="shared" si="3"/>
        <v>47.52</v>
      </c>
      <c r="M486" s="192">
        <f t="shared" si="4"/>
        <v>6.04</v>
      </c>
      <c r="N486" s="181"/>
      <c r="O486" s="181"/>
      <c r="P486" s="181"/>
    </row>
    <row r="487" spans="1:16">
      <c r="A487" s="83">
        <f>1</f>
        <v>1</v>
      </c>
      <c r="C487" s="188" t="s">
        <v>87</v>
      </c>
      <c r="D487" s="190">
        <f>2.3</f>
        <v>2.2999999999999998</v>
      </c>
      <c r="E487" s="191">
        <f>6.5</f>
        <v>6.5</v>
      </c>
      <c r="F487" s="88">
        <v>14.95</v>
      </c>
      <c r="G487" s="88"/>
      <c r="H487" s="192">
        <v>46.7</v>
      </c>
      <c r="I487" s="192">
        <v>14.95</v>
      </c>
      <c r="J487" s="181"/>
      <c r="K487" s="181"/>
      <c r="L487" s="192">
        <f t="shared" si="3"/>
        <v>44.400000000000006</v>
      </c>
      <c r="M487" s="192">
        <f t="shared" si="4"/>
        <v>2.2999999999999998</v>
      </c>
      <c r="N487" s="181"/>
      <c r="O487" s="181"/>
      <c r="P487" s="181"/>
    </row>
    <row r="488" spans="1:16">
      <c r="A488" s="83">
        <f>1</f>
        <v>1</v>
      </c>
      <c r="C488" s="188" t="s">
        <v>88</v>
      </c>
      <c r="D488" s="190">
        <f>0.97</f>
        <v>0.97</v>
      </c>
      <c r="E488" s="191">
        <f>3.37</f>
        <v>3.37</v>
      </c>
      <c r="F488" s="88">
        <v>3.2688999999999999</v>
      </c>
      <c r="G488" s="88"/>
      <c r="H488" s="192">
        <v>11.59</v>
      </c>
      <c r="I488" s="192">
        <v>3.2688999999999999</v>
      </c>
      <c r="J488" s="181"/>
      <c r="K488" s="181"/>
      <c r="L488" s="192">
        <f t="shared" si="3"/>
        <v>10.62</v>
      </c>
      <c r="M488" s="192">
        <f t="shared" si="4"/>
        <v>0.97</v>
      </c>
      <c r="N488" s="181"/>
      <c r="O488" s="181"/>
      <c r="P488" s="181"/>
    </row>
    <row r="489" spans="1:16">
      <c r="A489" s="83">
        <f>1</f>
        <v>1</v>
      </c>
      <c r="C489" s="188" t="s">
        <v>89</v>
      </c>
      <c r="D489" s="190">
        <f>1.1</f>
        <v>1.1000000000000001</v>
      </c>
      <c r="E489" s="191">
        <f>5.6</f>
        <v>5.6</v>
      </c>
      <c r="F489" s="88">
        <v>6.16</v>
      </c>
      <c r="G489" s="88"/>
      <c r="H489" s="192">
        <v>18.899999999999999</v>
      </c>
      <c r="I489" s="192">
        <v>6.16</v>
      </c>
      <c r="J489" s="181"/>
      <c r="K489" s="181"/>
      <c r="L489" s="192">
        <f t="shared" si="3"/>
        <v>17.799999999999997</v>
      </c>
      <c r="M489" s="192">
        <f t="shared" si="4"/>
        <v>1.1000000000000001</v>
      </c>
      <c r="N489" s="181"/>
      <c r="O489" s="181"/>
      <c r="P489" s="181"/>
    </row>
    <row r="490" spans="1:16">
      <c r="A490" s="83">
        <f>1</f>
        <v>1</v>
      </c>
      <c r="C490" s="188" t="s">
        <v>90</v>
      </c>
      <c r="D490" s="190">
        <f>2.3</f>
        <v>2.2999999999999998</v>
      </c>
      <c r="E490" s="191">
        <f>6.5</f>
        <v>6.5</v>
      </c>
      <c r="F490" s="88">
        <v>14.95</v>
      </c>
      <c r="G490" s="88"/>
      <c r="H490" s="192">
        <v>46.7</v>
      </c>
      <c r="I490" s="192">
        <v>14.95</v>
      </c>
      <c r="J490" s="181"/>
      <c r="K490" s="181"/>
      <c r="L490" s="192">
        <f t="shared" si="3"/>
        <v>44.400000000000006</v>
      </c>
      <c r="M490" s="192">
        <f t="shared" si="4"/>
        <v>2.2999999999999998</v>
      </c>
      <c r="N490" s="181"/>
      <c r="O490" s="181"/>
      <c r="P490" s="181"/>
    </row>
    <row r="491" spans="1:16">
      <c r="A491" s="83">
        <f>1</f>
        <v>1</v>
      </c>
      <c r="C491" s="188" t="s">
        <v>91</v>
      </c>
      <c r="D491" s="190">
        <f>0.7</f>
        <v>0.7</v>
      </c>
      <c r="E491" s="191">
        <f>6.1</f>
        <v>6.1</v>
      </c>
      <c r="F491" s="88">
        <v>4.2699999999999996</v>
      </c>
      <c r="G491" s="88"/>
      <c r="H491" s="192">
        <v>17.100000000000001</v>
      </c>
      <c r="I491" s="192">
        <v>4.2699999999999996</v>
      </c>
      <c r="J491" s="181"/>
      <c r="K491" s="181"/>
      <c r="L491" s="192">
        <f t="shared" si="3"/>
        <v>16.400000000000002</v>
      </c>
      <c r="M491" s="192">
        <f t="shared" si="4"/>
        <v>0.7</v>
      </c>
      <c r="N491" s="181"/>
      <c r="O491" s="181"/>
      <c r="P491" s="181"/>
    </row>
    <row r="492" spans="1:16">
      <c r="A492" s="83">
        <f>1</f>
        <v>1</v>
      </c>
      <c r="C492" s="188" t="s">
        <v>92</v>
      </c>
      <c r="D492" s="190">
        <f>3.05</f>
        <v>3.05</v>
      </c>
      <c r="E492" s="191">
        <f>7.05</f>
        <v>7.05</v>
      </c>
      <c r="F492" s="88">
        <v>21.502500000000001</v>
      </c>
      <c r="G492" s="88"/>
      <c r="H492" s="192">
        <v>49.55</v>
      </c>
      <c r="I492" s="192">
        <v>21.502500000000001</v>
      </c>
      <c r="J492" s="181"/>
      <c r="K492" s="181"/>
      <c r="L492" s="192">
        <f t="shared" si="3"/>
        <v>46.5</v>
      </c>
      <c r="M492" s="192">
        <f t="shared" si="4"/>
        <v>3.05</v>
      </c>
      <c r="N492" s="181"/>
      <c r="O492" s="181"/>
      <c r="P492" s="181"/>
    </row>
    <row r="493" spans="1:16">
      <c r="A493" s="83">
        <f>1</f>
        <v>1</v>
      </c>
      <c r="C493" s="188" t="s">
        <v>93</v>
      </c>
      <c r="D493" s="190">
        <f>1.1</f>
        <v>1.1000000000000001</v>
      </c>
      <c r="E493" s="191">
        <f>7.38</f>
        <v>7.38</v>
      </c>
      <c r="F493" s="88">
        <v>8.1180000000000003</v>
      </c>
      <c r="G493" s="88"/>
      <c r="H493" s="192">
        <v>21.36</v>
      </c>
      <c r="I493" s="192">
        <v>8.1180000000000003</v>
      </c>
      <c r="J493" s="181"/>
      <c r="K493" s="181"/>
      <c r="L493" s="192">
        <f t="shared" si="3"/>
        <v>20.259999999999998</v>
      </c>
      <c r="M493" s="192">
        <f t="shared" si="4"/>
        <v>1.1000000000000001</v>
      </c>
      <c r="N493" s="181"/>
      <c r="O493" s="181"/>
      <c r="P493" s="181"/>
    </row>
    <row r="494" spans="1:16">
      <c r="A494" s="195"/>
      <c r="C494" s="188"/>
      <c r="D494" s="190"/>
      <c r="E494" s="191"/>
      <c r="F494" s="88"/>
      <c r="G494" s="88"/>
      <c r="H494" s="192"/>
      <c r="I494" s="192"/>
      <c r="J494" s="181"/>
      <c r="K494" s="181"/>
      <c r="L494" s="192"/>
      <c r="M494" s="192"/>
      <c r="N494" s="181"/>
      <c r="O494" s="181"/>
      <c r="P494" s="181"/>
    </row>
    <row r="495" spans="1:16">
      <c r="A495" s="195"/>
      <c r="C495" s="188"/>
      <c r="D495" s="190"/>
      <c r="E495" s="191"/>
      <c r="F495" s="88"/>
      <c r="G495" s="88"/>
      <c r="H495" s="192"/>
      <c r="I495" s="192"/>
      <c r="J495" s="181"/>
      <c r="K495" s="181"/>
      <c r="L495" s="192"/>
      <c r="M495" s="192"/>
      <c r="N495" s="181"/>
      <c r="O495" s="181"/>
      <c r="P495" s="181"/>
    </row>
    <row r="496" spans="1:16">
      <c r="A496" s="183">
        <f>SUM(A497:A506)</f>
        <v>9</v>
      </c>
      <c r="C496" s="79" t="s">
        <v>94</v>
      </c>
      <c r="D496" s="190"/>
      <c r="E496" s="191"/>
      <c r="F496" s="88"/>
      <c r="G496" s="88"/>
      <c r="H496" s="192"/>
      <c r="I496" s="187">
        <v>29.242800000000003</v>
      </c>
      <c r="L496" s="187">
        <f>SUM(L498:L510)</f>
        <v>225.68</v>
      </c>
      <c r="M496" s="187">
        <f>SUM(M498:M510)</f>
        <v>48.45</v>
      </c>
      <c r="N496" s="181"/>
      <c r="O496" s="181"/>
      <c r="P496" s="181"/>
    </row>
    <row r="497" spans="1:16">
      <c r="A497" s="195"/>
      <c r="C497" s="79"/>
      <c r="D497" s="190"/>
      <c r="E497" s="191"/>
      <c r="F497" s="88"/>
      <c r="G497" s="88"/>
      <c r="H497" s="192"/>
      <c r="I497" s="187"/>
      <c r="L497" s="187"/>
      <c r="M497" s="187"/>
      <c r="N497" s="181"/>
      <c r="O497" s="181"/>
      <c r="P497" s="181"/>
    </row>
    <row r="498" spans="1:16">
      <c r="A498" s="95">
        <f>1</f>
        <v>1</v>
      </c>
      <c r="C498" s="96" t="s">
        <v>95</v>
      </c>
      <c r="D498" s="191">
        <f>1.57</f>
        <v>1.57</v>
      </c>
      <c r="E498" s="190">
        <f>2.57</f>
        <v>2.57</v>
      </c>
      <c r="F498" s="88">
        <v>4.0348999999999995</v>
      </c>
      <c r="G498" s="88"/>
      <c r="H498" s="192">
        <v>12.42</v>
      </c>
      <c r="I498" s="192">
        <v>4.0348999999999995</v>
      </c>
      <c r="L498" s="192">
        <f t="shared" ref="L498:L505" si="5">A498*(H498-E498)</f>
        <v>9.85</v>
      </c>
      <c r="M498" s="192">
        <f t="shared" ref="M498:M505" si="6">A498*E498</f>
        <v>2.57</v>
      </c>
      <c r="N498" s="181"/>
      <c r="O498" s="181"/>
      <c r="P498" s="181"/>
    </row>
    <row r="499" spans="1:16">
      <c r="A499" s="95">
        <f>1</f>
        <v>1</v>
      </c>
      <c r="C499" s="96" t="s">
        <v>96</v>
      </c>
      <c r="D499" s="191">
        <f>0.98</f>
        <v>0.98</v>
      </c>
      <c r="E499" s="190">
        <f>2.57</f>
        <v>2.57</v>
      </c>
      <c r="F499" s="88">
        <v>2.5185999999999997</v>
      </c>
      <c r="G499" s="88"/>
      <c r="H499" s="192">
        <v>8.08</v>
      </c>
      <c r="I499" s="192">
        <v>2.5185999999999997</v>
      </c>
      <c r="L499" s="192">
        <f t="shared" si="5"/>
        <v>5.51</v>
      </c>
      <c r="M499" s="192">
        <f t="shared" si="6"/>
        <v>2.57</v>
      </c>
      <c r="N499" s="181"/>
      <c r="O499" s="181"/>
      <c r="P499" s="181"/>
    </row>
    <row r="500" spans="1:16">
      <c r="A500" s="95">
        <f>1</f>
        <v>1</v>
      </c>
      <c r="C500" s="96" t="s">
        <v>97</v>
      </c>
      <c r="D500" s="191">
        <f>1.77</f>
        <v>1.77</v>
      </c>
      <c r="E500" s="190">
        <f>2.57</f>
        <v>2.57</v>
      </c>
      <c r="F500" s="88">
        <v>4.5488999999999997</v>
      </c>
      <c r="G500" s="88"/>
      <c r="H500" s="192">
        <v>10.45</v>
      </c>
      <c r="I500" s="192">
        <v>4.5488999999999997</v>
      </c>
      <c r="J500" s="181"/>
      <c r="K500" s="181"/>
      <c r="L500" s="192">
        <f t="shared" si="5"/>
        <v>7.879999999999999</v>
      </c>
      <c r="M500" s="192">
        <f t="shared" si="6"/>
        <v>2.57</v>
      </c>
      <c r="N500" s="181"/>
      <c r="O500" s="181"/>
      <c r="P500" s="181"/>
    </row>
    <row r="501" spans="1:16">
      <c r="A501" s="95">
        <f>1</f>
        <v>1</v>
      </c>
      <c r="C501" s="96" t="s">
        <v>98</v>
      </c>
      <c r="D501" s="191">
        <f>1.37</f>
        <v>1.37</v>
      </c>
      <c r="E501" s="190">
        <f>2.07</f>
        <v>2.0699999999999998</v>
      </c>
      <c r="F501" s="88">
        <v>2.8359000000000001</v>
      </c>
      <c r="G501" s="88"/>
      <c r="H501" s="192">
        <v>10.32</v>
      </c>
      <c r="I501" s="192">
        <v>2.8359000000000001</v>
      </c>
      <c r="J501" s="181"/>
      <c r="K501" s="181"/>
      <c r="L501" s="192">
        <f t="shared" si="5"/>
        <v>8.25</v>
      </c>
      <c r="M501" s="192">
        <f t="shared" si="6"/>
        <v>2.0699999999999998</v>
      </c>
      <c r="N501" s="181"/>
      <c r="O501" s="181"/>
      <c r="P501" s="181"/>
    </row>
    <row r="502" spans="1:16">
      <c r="A502" s="95">
        <f>1+1</f>
        <v>2</v>
      </c>
      <c r="C502" s="96" t="s">
        <v>99</v>
      </c>
      <c r="D502" s="191">
        <f>0.97</f>
        <v>0.97</v>
      </c>
      <c r="E502" s="190">
        <f>2.07</f>
        <v>2.0699999999999998</v>
      </c>
      <c r="F502" s="88">
        <v>2.0078999999999998</v>
      </c>
      <c r="G502" s="88"/>
      <c r="H502" s="192">
        <v>6.08</v>
      </c>
      <c r="I502" s="192">
        <v>4.0157999999999996</v>
      </c>
      <c r="J502" s="181"/>
      <c r="K502" s="181"/>
      <c r="L502" s="192">
        <f t="shared" si="5"/>
        <v>8.02</v>
      </c>
      <c r="M502" s="192">
        <f t="shared" si="6"/>
        <v>4.1399999999999997</v>
      </c>
      <c r="N502" s="181"/>
      <c r="O502" s="181"/>
      <c r="P502" s="181"/>
    </row>
    <row r="503" spans="1:16">
      <c r="A503" s="95">
        <f>1</f>
        <v>1</v>
      </c>
      <c r="C503" s="96" t="s">
        <v>100</v>
      </c>
      <c r="D503" s="191">
        <f>1.77</f>
        <v>1.77</v>
      </c>
      <c r="E503" s="190">
        <f>2.07</f>
        <v>2.0699999999999998</v>
      </c>
      <c r="F503" s="88">
        <v>3.6638999999999999</v>
      </c>
      <c r="G503" s="88"/>
      <c r="H503" s="192">
        <v>7.68</v>
      </c>
      <c r="I503" s="192">
        <v>3.6638999999999999</v>
      </c>
      <c r="J503" s="181"/>
      <c r="K503" s="181"/>
      <c r="L503" s="192">
        <f t="shared" si="5"/>
        <v>5.6099999999999994</v>
      </c>
      <c r="M503" s="192">
        <f t="shared" si="6"/>
        <v>2.0699999999999998</v>
      </c>
      <c r="N503" s="181"/>
      <c r="O503" s="181"/>
      <c r="P503" s="181"/>
    </row>
    <row r="504" spans="1:16">
      <c r="A504" s="95">
        <f>1</f>
        <v>1</v>
      </c>
      <c r="C504" s="96" t="s">
        <v>101</v>
      </c>
      <c r="D504" s="191">
        <f>0.97</f>
        <v>0.97</v>
      </c>
      <c r="E504" s="190">
        <f>2.07</f>
        <v>2.0699999999999998</v>
      </c>
      <c r="F504" s="88">
        <v>2.0078999999999998</v>
      </c>
      <c r="G504" s="88"/>
      <c r="H504" s="192">
        <v>7.05</v>
      </c>
      <c r="I504" s="192">
        <v>2.0078999999999998</v>
      </c>
      <c r="L504" s="192">
        <f t="shared" si="5"/>
        <v>4.9800000000000004</v>
      </c>
      <c r="M504" s="192">
        <f t="shared" si="6"/>
        <v>2.0699999999999998</v>
      </c>
      <c r="N504" s="181"/>
      <c r="O504" s="181"/>
      <c r="P504" s="181"/>
    </row>
    <row r="505" spans="1:16">
      <c r="A505" s="95">
        <f>1</f>
        <v>1</v>
      </c>
      <c r="C505" s="96" t="s">
        <v>102</v>
      </c>
      <c r="D505" s="191">
        <f>2.37</f>
        <v>2.37</v>
      </c>
      <c r="E505" s="191">
        <f>2.37</f>
        <v>2.37</v>
      </c>
      <c r="F505" s="88">
        <v>5.6169000000000002</v>
      </c>
      <c r="G505" s="88"/>
      <c r="H505" s="192">
        <v>9.48</v>
      </c>
      <c r="I505" s="192">
        <v>5.6169000000000002</v>
      </c>
      <c r="J505" s="181"/>
      <c r="K505" s="181"/>
      <c r="L505" s="192">
        <f t="shared" si="5"/>
        <v>7.11</v>
      </c>
      <c r="M505" s="192">
        <f t="shared" si="6"/>
        <v>2.37</v>
      </c>
      <c r="N505" s="181"/>
      <c r="O505" s="181"/>
      <c r="P505" s="181"/>
    </row>
    <row r="506" spans="1:16">
      <c r="A506" s="95"/>
      <c r="B506" s="175"/>
      <c r="C506" s="96"/>
      <c r="D506" s="191"/>
      <c r="E506" s="190"/>
      <c r="F506" s="88"/>
      <c r="G506" s="88"/>
      <c r="H506" s="192"/>
      <c r="I506" s="192"/>
      <c r="J506" s="181"/>
      <c r="K506" s="181"/>
      <c r="L506" s="192"/>
      <c r="M506" s="192"/>
      <c r="N506" s="181"/>
      <c r="O506" s="181"/>
      <c r="P506" s="181"/>
    </row>
    <row r="507" spans="1:16">
      <c r="A507" s="95"/>
      <c r="C507" s="96"/>
      <c r="D507" s="191"/>
      <c r="E507" s="190"/>
      <c r="F507" s="88"/>
      <c r="G507" s="88"/>
      <c r="H507" s="192"/>
      <c r="I507" s="192"/>
      <c r="J507" s="181"/>
      <c r="K507" s="181"/>
      <c r="L507" s="192"/>
      <c r="M507" s="192"/>
      <c r="N507" s="181"/>
      <c r="O507" s="181"/>
      <c r="P507" s="181"/>
    </row>
    <row r="508" spans="1:16">
      <c r="A508" s="183">
        <f>SUM(A509:A517)</f>
        <v>12</v>
      </c>
      <c r="C508" s="97" t="s">
        <v>103</v>
      </c>
      <c r="D508" s="190"/>
      <c r="E508" s="191"/>
      <c r="F508" s="88"/>
      <c r="G508" s="88"/>
      <c r="H508" s="192"/>
      <c r="I508" s="187">
        <v>61.446000000000005</v>
      </c>
      <c r="J508" s="181"/>
      <c r="K508" s="181"/>
      <c r="L508" s="187">
        <f>SUM(L509:L522)</f>
        <v>148.47999999999999</v>
      </c>
      <c r="M508" s="187">
        <f>SUM(M509:M522)</f>
        <v>25.25</v>
      </c>
      <c r="N508" s="181"/>
      <c r="O508" s="181"/>
      <c r="P508" s="181"/>
    </row>
    <row r="509" spans="1:16">
      <c r="A509" s="83"/>
      <c r="C509" s="79"/>
      <c r="D509" s="190"/>
      <c r="E509" s="191"/>
      <c r="F509" s="88"/>
      <c r="G509" s="88"/>
      <c r="H509" s="192"/>
      <c r="I509" s="187"/>
      <c r="J509" s="181"/>
      <c r="K509" s="181"/>
      <c r="L509" s="187"/>
      <c r="M509" s="187"/>
      <c r="N509" s="181"/>
      <c r="O509" s="181"/>
      <c r="P509" s="181"/>
    </row>
    <row r="510" spans="1:16">
      <c r="A510" s="83">
        <f>1</f>
        <v>1</v>
      </c>
      <c r="C510" s="188" t="s">
        <v>104</v>
      </c>
      <c r="D510" s="190">
        <f>2.77</f>
        <v>2.77</v>
      </c>
      <c r="E510" s="191">
        <f>2.92</f>
        <v>2.92</v>
      </c>
      <c r="F510" s="88">
        <v>8.0884</v>
      </c>
      <c r="G510" s="88"/>
      <c r="H510" s="192">
        <v>22.76</v>
      </c>
      <c r="I510" s="192">
        <v>8.0884</v>
      </c>
      <c r="J510" s="181"/>
      <c r="K510" s="181"/>
      <c r="L510" s="192">
        <f t="shared" ref="L510:L516" si="7">A510*(H510-D510)</f>
        <v>19.990000000000002</v>
      </c>
      <c r="M510" s="192">
        <f t="shared" ref="M510:M516" si="8">A510*D510</f>
        <v>2.77</v>
      </c>
      <c r="N510" s="181"/>
      <c r="O510" s="181"/>
      <c r="P510" s="181"/>
    </row>
    <row r="511" spans="1:16">
      <c r="A511" s="83">
        <f>1</f>
        <v>1</v>
      </c>
      <c r="C511" s="188" t="s">
        <v>105</v>
      </c>
      <c r="D511" s="190">
        <f>2.965</f>
        <v>2.9649999999999999</v>
      </c>
      <c r="E511" s="191">
        <f>2.67</f>
        <v>2.67</v>
      </c>
      <c r="F511" s="88">
        <v>7.9165499999999991</v>
      </c>
      <c r="G511" s="88"/>
      <c r="H511" s="192">
        <v>22.54</v>
      </c>
      <c r="I511" s="192">
        <v>7.9165499999999991</v>
      </c>
      <c r="J511" s="181"/>
      <c r="K511" s="181"/>
      <c r="L511" s="192">
        <f t="shared" si="7"/>
        <v>19.574999999999999</v>
      </c>
      <c r="M511" s="192">
        <f t="shared" si="8"/>
        <v>2.9649999999999999</v>
      </c>
      <c r="N511" s="181"/>
      <c r="O511" s="181"/>
    </row>
    <row r="512" spans="1:16">
      <c r="A512" s="83">
        <f>1</f>
        <v>1</v>
      </c>
      <c r="C512" s="188" t="s">
        <v>106</v>
      </c>
      <c r="D512" s="190">
        <f>2.855</f>
        <v>2.855</v>
      </c>
      <c r="E512" s="191">
        <f>2.67</f>
        <v>2.67</v>
      </c>
      <c r="F512" s="88">
        <v>7.6228499999999997</v>
      </c>
      <c r="G512" s="88"/>
      <c r="H512" s="192">
        <v>19.43</v>
      </c>
      <c r="I512" s="192">
        <v>7.6228499999999997</v>
      </c>
      <c r="J512" s="181"/>
      <c r="K512" s="181"/>
      <c r="L512" s="192">
        <f t="shared" si="7"/>
        <v>16.574999999999999</v>
      </c>
      <c r="M512" s="192">
        <f t="shared" si="8"/>
        <v>2.855</v>
      </c>
      <c r="N512" s="181"/>
      <c r="O512" s="181"/>
    </row>
    <row r="513" spans="1:16">
      <c r="A513" s="83">
        <f>3</f>
        <v>3</v>
      </c>
      <c r="C513" s="188" t="s">
        <v>107</v>
      </c>
      <c r="D513" s="190">
        <f>2.1</f>
        <v>2.1</v>
      </c>
      <c r="E513" s="191">
        <f>2.27</f>
        <v>2.27</v>
      </c>
      <c r="F513" s="88">
        <v>4.7670000000000003</v>
      </c>
      <c r="G513" s="88"/>
      <c r="H513" s="192">
        <v>13.11</v>
      </c>
      <c r="I513" s="192">
        <v>14.301000000000002</v>
      </c>
      <c r="J513" s="181"/>
      <c r="K513" s="181"/>
      <c r="L513" s="192">
        <f t="shared" si="7"/>
        <v>33.03</v>
      </c>
      <c r="M513" s="192">
        <f t="shared" si="8"/>
        <v>6.3000000000000007</v>
      </c>
      <c r="N513" s="181"/>
      <c r="O513" s="181"/>
    </row>
    <row r="514" spans="1:16">
      <c r="A514" s="83">
        <f>3</f>
        <v>3</v>
      </c>
      <c r="C514" s="188" t="s">
        <v>108</v>
      </c>
      <c r="D514" s="190">
        <f>2.01</f>
        <v>2.0099999999999998</v>
      </c>
      <c r="E514" s="191">
        <f>2.27</f>
        <v>2.27</v>
      </c>
      <c r="F514" s="88">
        <v>4.5626999999999995</v>
      </c>
      <c r="G514" s="88"/>
      <c r="H514" s="192">
        <v>12.84</v>
      </c>
      <c r="I514" s="192">
        <v>13.688099999999999</v>
      </c>
      <c r="J514" s="181"/>
      <c r="K514" s="181"/>
      <c r="L514" s="192">
        <f t="shared" si="7"/>
        <v>32.49</v>
      </c>
      <c r="M514" s="192">
        <f t="shared" si="8"/>
        <v>6.0299999999999994</v>
      </c>
      <c r="N514" s="181"/>
      <c r="O514" s="181"/>
    </row>
    <row r="515" spans="1:16">
      <c r="A515" s="83">
        <f>2</f>
        <v>2</v>
      </c>
      <c r="C515" s="188" t="s">
        <v>109</v>
      </c>
      <c r="D515" s="190">
        <f>1.665</f>
        <v>1.665</v>
      </c>
      <c r="E515" s="191">
        <f>2.27</f>
        <v>2.27</v>
      </c>
      <c r="F515" s="88">
        <v>3.77955</v>
      </c>
      <c r="G515" s="88"/>
      <c r="H515" s="192">
        <v>11.805</v>
      </c>
      <c r="I515" s="192">
        <v>7.5590999999999999</v>
      </c>
      <c r="J515" s="181"/>
      <c r="K515" s="181"/>
      <c r="L515" s="192">
        <f t="shared" si="7"/>
        <v>20.28</v>
      </c>
      <c r="M515" s="192">
        <f t="shared" si="8"/>
        <v>3.33</v>
      </c>
      <c r="N515" s="181"/>
      <c r="O515" s="181"/>
    </row>
    <row r="516" spans="1:16">
      <c r="A516" s="83">
        <f>1</f>
        <v>1</v>
      </c>
      <c r="B516" s="175"/>
      <c r="C516" s="188" t="s">
        <v>110</v>
      </c>
      <c r="D516" s="190">
        <f>1</f>
        <v>1</v>
      </c>
      <c r="E516" s="191">
        <f>2.27</f>
        <v>2.27</v>
      </c>
      <c r="F516" s="88">
        <v>2.27</v>
      </c>
      <c r="G516" s="88"/>
      <c r="H516" s="192">
        <v>7.54</v>
      </c>
      <c r="I516" s="192">
        <v>2.27</v>
      </c>
      <c r="J516" s="181"/>
      <c r="K516" s="181"/>
      <c r="L516" s="192">
        <f t="shared" si="7"/>
        <v>6.54</v>
      </c>
      <c r="M516" s="192">
        <f t="shared" si="8"/>
        <v>1</v>
      </c>
      <c r="N516" s="181"/>
      <c r="O516" s="181"/>
    </row>
    <row r="525" spans="1:16">
      <c r="A525" s="98"/>
      <c r="C525" s="99" t="s">
        <v>111</v>
      </c>
      <c r="D525" s="100" t="s">
        <v>112</v>
      </c>
      <c r="E525" s="28">
        <f>48</f>
        <v>48</v>
      </c>
      <c r="H525" s="101"/>
      <c r="J525" s="102"/>
      <c r="K525" s="102"/>
      <c r="L525" s="72">
        <f>120</f>
        <v>120</v>
      </c>
      <c r="M525" s="103" t="str">
        <f>IF(F525&gt;0,+F525*E525,CHAR(32))</f>
        <v xml:space="preserve"> </v>
      </c>
      <c r="N525" s="72">
        <f>IF(E525&gt;0,+E525*I525,CHAR(32))</f>
        <v>0</v>
      </c>
      <c r="O525" s="72"/>
      <c r="P525" s="72">
        <f>IF(L525&gt;0,+L525*E525,CHAR(32))</f>
        <v>5760</v>
      </c>
    </row>
    <row r="526" spans="1:16">
      <c r="A526" s="70"/>
      <c r="B526" s="175"/>
      <c r="C526" s="104" t="s">
        <v>113</v>
      </c>
      <c r="D526" s="100" t="s">
        <v>114</v>
      </c>
      <c r="E526" s="28">
        <f>2</f>
        <v>2</v>
      </c>
      <c r="H526" s="105" t="e">
        <f>NA()</f>
        <v>#N/A</v>
      </c>
      <c r="I526" s="31">
        <v>1016.949152542373</v>
      </c>
      <c r="J526" s="101" t="e">
        <f>NA()</f>
        <v>#N/A</v>
      </c>
      <c r="K526" s="101"/>
      <c r="L526" s="106"/>
      <c r="M526" s="106"/>
      <c r="N526" s="72">
        <f>IF(E526&gt;0,+E526*I526,CHAR(32))</f>
        <v>2033.898305084746</v>
      </c>
      <c r="O526" s="72"/>
      <c r="P526" s="72" t="str">
        <f>IF(L526&gt;0,+L526*E526,CHAR(32))</f>
        <v xml:space="preserve"> </v>
      </c>
    </row>
    <row r="528" spans="1:16">
      <c r="C528" s="28" t="s">
        <v>115</v>
      </c>
    </row>
    <row r="529" spans="1:15">
      <c r="C529" s="107" t="s">
        <v>116</v>
      </c>
      <c r="G529" s="72"/>
      <c r="I529" s="29"/>
      <c r="M529" s="72"/>
      <c r="N529" s="72"/>
      <c r="O529" s="72"/>
    </row>
    <row r="530" spans="1:15">
      <c r="A530" s="28" t="s">
        <v>117</v>
      </c>
      <c r="C530" s="28" t="s">
        <v>118</v>
      </c>
      <c r="D530" s="108">
        <f>3</f>
        <v>3</v>
      </c>
      <c r="E530" s="73">
        <f>3</f>
        <v>3</v>
      </c>
      <c r="F530" s="72">
        <v>8.1</v>
      </c>
      <c r="G530" s="31">
        <v>12</v>
      </c>
      <c r="H530" s="31" t="e">
        <f>NA()</f>
        <v>#N/A</v>
      </c>
      <c r="I530" s="31" t="e">
        <f>NA()</f>
        <v>#N/A</v>
      </c>
      <c r="J530" s="109" t="e">
        <f>NA()</f>
        <v>#N/A</v>
      </c>
      <c r="L530" s="72"/>
      <c r="M530" s="72" t="e">
        <f t="shared" ref="M530:M543" si="9">H530-(I530+J530+K530+L530)</f>
        <v>#N/A</v>
      </c>
      <c r="O530" s="72"/>
    </row>
    <row r="531" spans="1:15">
      <c r="A531" s="28" t="s">
        <v>119</v>
      </c>
      <c r="C531" s="28" t="s">
        <v>120</v>
      </c>
      <c r="D531" s="108">
        <f>14</f>
        <v>14</v>
      </c>
      <c r="E531" s="73">
        <f>11</f>
        <v>11</v>
      </c>
      <c r="F531" s="72">
        <v>104.7</v>
      </c>
      <c r="G531" s="31">
        <v>50</v>
      </c>
      <c r="H531" s="31" t="e">
        <f>NA()</f>
        <v>#N/A</v>
      </c>
      <c r="I531" s="31" t="e">
        <f>NA()</f>
        <v>#N/A</v>
      </c>
      <c r="J531" s="109" t="e">
        <f>NA()</f>
        <v>#N/A</v>
      </c>
      <c r="M531" s="72" t="e">
        <f t="shared" si="9"/>
        <v>#N/A</v>
      </c>
    </row>
    <row r="532" spans="1:15">
      <c r="A532" s="28" t="s">
        <v>121</v>
      </c>
      <c r="C532" s="110" t="s">
        <v>122</v>
      </c>
      <c r="D532" s="111">
        <f>2.85</f>
        <v>2.85</v>
      </c>
      <c r="E532" s="112">
        <f>2.4</f>
        <v>2.4</v>
      </c>
      <c r="F532" s="113">
        <v>6.85</v>
      </c>
      <c r="G532" s="81">
        <v>10.5</v>
      </c>
      <c r="H532" s="111">
        <v>88.2</v>
      </c>
      <c r="I532" s="111">
        <v>23.94</v>
      </c>
      <c r="J532" s="111">
        <v>64.260000000000005</v>
      </c>
      <c r="M532" s="72">
        <f t="shared" si="9"/>
        <v>0</v>
      </c>
    </row>
    <row r="533" spans="1:15">
      <c r="A533" s="28" t="s">
        <v>123</v>
      </c>
      <c r="C533" s="28" t="s">
        <v>124</v>
      </c>
      <c r="D533" s="31">
        <f>4.2</f>
        <v>4.2</v>
      </c>
      <c r="E533" s="73">
        <f>3.45</f>
        <v>3.45</v>
      </c>
      <c r="F533" s="72">
        <v>14.5</v>
      </c>
      <c r="G533" s="31">
        <v>15.3</v>
      </c>
      <c r="H533" s="31" t="e">
        <f>NA()</f>
        <v>#N/A</v>
      </c>
      <c r="I533" s="31" t="e">
        <f>NA()</f>
        <v>#N/A</v>
      </c>
      <c r="J533" s="31" t="e">
        <f>NA()</f>
        <v>#N/A</v>
      </c>
      <c r="K533" s="114" t="e">
        <f>H533-(I533+J533)</f>
        <v>#N/A</v>
      </c>
      <c r="L533" s="72"/>
      <c r="M533" s="72" t="e">
        <f t="shared" si="9"/>
        <v>#N/A</v>
      </c>
      <c r="O533" s="72"/>
    </row>
    <row r="534" spans="1:15">
      <c r="A534" s="28" t="s">
        <v>125</v>
      </c>
      <c r="C534" s="28" t="s">
        <v>126</v>
      </c>
      <c r="D534" s="31">
        <f>F534/E534</f>
        <v>10.555555555555555</v>
      </c>
      <c r="E534" s="73">
        <f>1.8</f>
        <v>1.8</v>
      </c>
      <c r="F534" s="72">
        <v>19</v>
      </c>
      <c r="G534" s="31">
        <v>24.711111111111112</v>
      </c>
      <c r="H534" s="31" t="e">
        <f>NA()</f>
        <v>#N/A</v>
      </c>
      <c r="J534" s="31" t="e">
        <f>NA()</f>
        <v>#N/A</v>
      </c>
      <c r="L534" s="115"/>
      <c r="M534" s="72" t="e">
        <f t="shared" si="9"/>
        <v>#N/A</v>
      </c>
      <c r="O534" s="72"/>
    </row>
    <row r="535" spans="1:15">
      <c r="A535" s="28" t="s">
        <v>127</v>
      </c>
      <c r="C535" s="28" t="s">
        <v>126</v>
      </c>
      <c r="D535" s="31">
        <f>F535/E535</f>
        <v>17</v>
      </c>
      <c r="E535" s="73">
        <f>1.8</f>
        <v>1.8</v>
      </c>
      <c r="F535" s="72">
        <v>30.6</v>
      </c>
      <c r="G535" s="31">
        <v>37.6</v>
      </c>
      <c r="H535" s="31" t="e">
        <f>NA()</f>
        <v>#N/A</v>
      </c>
      <c r="J535" s="31" t="e">
        <f>NA()</f>
        <v>#N/A</v>
      </c>
      <c r="L535" s="115"/>
      <c r="M535" s="72" t="e">
        <f t="shared" si="9"/>
        <v>#N/A</v>
      </c>
      <c r="O535" s="72"/>
    </row>
    <row r="536" spans="1:15">
      <c r="A536" s="28" t="s">
        <v>128</v>
      </c>
      <c r="C536" s="28" t="s">
        <v>118</v>
      </c>
      <c r="D536" s="31">
        <f>2</f>
        <v>2</v>
      </c>
      <c r="E536" s="73">
        <f>1.25</f>
        <v>1.25</v>
      </c>
      <c r="F536" s="72">
        <v>2.4500000000000002</v>
      </c>
      <c r="G536" s="31">
        <v>6.5</v>
      </c>
      <c r="H536" s="31" t="e">
        <f>NA()</f>
        <v>#N/A</v>
      </c>
      <c r="I536" s="31" t="e">
        <f>NA()</f>
        <v>#N/A</v>
      </c>
      <c r="J536" s="31" t="e">
        <f>NA()</f>
        <v>#N/A</v>
      </c>
      <c r="L536" s="115"/>
      <c r="M536" s="72" t="e">
        <f t="shared" si="9"/>
        <v>#N/A</v>
      </c>
      <c r="O536" s="72"/>
    </row>
    <row r="537" spans="1:15">
      <c r="A537" s="28" t="s">
        <v>129</v>
      </c>
      <c r="C537" s="116" t="s">
        <v>130</v>
      </c>
      <c r="D537" s="117">
        <f>1.4</f>
        <v>1.4</v>
      </c>
      <c r="E537" s="118">
        <f>1.3</f>
        <v>1.3</v>
      </c>
      <c r="F537" s="72">
        <v>1.8</v>
      </c>
      <c r="G537" s="31">
        <v>5.4</v>
      </c>
      <c r="H537" s="117" t="e">
        <f>NA()</f>
        <v>#N/A</v>
      </c>
      <c r="I537" s="117"/>
      <c r="J537" s="117" t="e">
        <f>NA()</f>
        <v>#N/A</v>
      </c>
      <c r="L537" s="117" t="e">
        <f>H537-(I537+J537)</f>
        <v>#N/A</v>
      </c>
      <c r="M537" s="72" t="e">
        <f t="shared" si="9"/>
        <v>#N/A</v>
      </c>
      <c r="O537" s="72"/>
    </row>
    <row r="538" spans="1:15">
      <c r="A538" s="28" t="s">
        <v>131</v>
      </c>
      <c r="C538" s="116" t="s">
        <v>132</v>
      </c>
      <c r="D538" s="117">
        <f>1.4</f>
        <v>1.4</v>
      </c>
      <c r="E538" s="118">
        <f>1.35</f>
        <v>1.35</v>
      </c>
      <c r="F538" s="72">
        <v>1.9</v>
      </c>
      <c r="G538" s="31">
        <v>5.5</v>
      </c>
      <c r="H538" s="117" t="e">
        <f>NA()</f>
        <v>#N/A</v>
      </c>
      <c r="I538" s="117"/>
      <c r="J538" s="117" t="e">
        <f>NA()</f>
        <v>#N/A</v>
      </c>
      <c r="L538" s="117" t="e">
        <f>H538-(I538+J538)</f>
        <v>#N/A</v>
      </c>
      <c r="M538" s="72" t="e">
        <f t="shared" si="9"/>
        <v>#N/A</v>
      </c>
    </row>
    <row r="539" spans="1:15">
      <c r="A539" s="28" t="s">
        <v>133</v>
      </c>
      <c r="C539" s="28" t="s">
        <v>126</v>
      </c>
      <c r="D539" s="29">
        <f>F539/E539</f>
        <v>15.65</v>
      </c>
      <c r="E539" s="31">
        <f>2</f>
        <v>2</v>
      </c>
      <c r="F539" s="29">
        <v>31.3</v>
      </c>
      <c r="G539" s="29">
        <v>35.299999999999997</v>
      </c>
      <c r="H539" s="31" t="e">
        <f>NA()</f>
        <v>#N/A</v>
      </c>
      <c r="I539" s="29"/>
      <c r="J539" s="31" t="e">
        <f>NA()</f>
        <v>#N/A</v>
      </c>
      <c r="M539" s="72" t="e">
        <f t="shared" si="9"/>
        <v>#N/A</v>
      </c>
    </row>
    <row r="540" spans="1:15">
      <c r="A540" s="28" t="s">
        <v>134</v>
      </c>
      <c r="C540" s="28" t="s">
        <v>126</v>
      </c>
      <c r="D540" s="31">
        <f>F540/E540</f>
        <v>15.839285714285715</v>
      </c>
      <c r="E540" s="31">
        <f>2.8</f>
        <v>2.8</v>
      </c>
      <c r="F540" s="31">
        <v>44.35</v>
      </c>
      <c r="G540" s="29">
        <v>37.278571428571432</v>
      </c>
      <c r="H540" s="29" t="e">
        <f>NA()</f>
        <v>#N/A</v>
      </c>
      <c r="I540" s="29"/>
      <c r="J540" s="29" t="e">
        <f>NA()</f>
        <v>#N/A</v>
      </c>
      <c r="M540" s="72" t="e">
        <f t="shared" si="9"/>
        <v>#N/A</v>
      </c>
      <c r="O540" s="72"/>
    </row>
    <row r="541" spans="1:15">
      <c r="A541" s="28" t="s">
        <v>135</v>
      </c>
      <c r="C541" s="28" t="s">
        <v>136</v>
      </c>
      <c r="D541" s="31">
        <f>6.35</f>
        <v>6.35</v>
      </c>
      <c r="E541" s="31">
        <f>2.5</f>
        <v>2.5</v>
      </c>
      <c r="F541" s="31">
        <v>14.9</v>
      </c>
      <c r="G541" s="29">
        <v>17.7</v>
      </c>
      <c r="H541" s="29" t="e">
        <f>NA()</f>
        <v>#N/A</v>
      </c>
      <c r="I541" s="29" t="e">
        <f>NA()</f>
        <v>#N/A</v>
      </c>
      <c r="J541" s="29" t="e">
        <f>NA()</f>
        <v>#N/A</v>
      </c>
      <c r="M541" s="72" t="e">
        <f t="shared" si="9"/>
        <v>#N/A</v>
      </c>
    </row>
    <row r="542" spans="1:15">
      <c r="A542" s="28" t="s">
        <v>137</v>
      </c>
      <c r="C542" s="28" t="s">
        <v>118</v>
      </c>
      <c r="D542" s="31">
        <f>2</f>
        <v>2</v>
      </c>
      <c r="E542" s="73">
        <f>1.35</f>
        <v>1.35</v>
      </c>
      <c r="F542" s="72">
        <v>2.25</v>
      </c>
      <c r="G542" s="31">
        <v>6.7</v>
      </c>
      <c r="H542" s="31" t="e">
        <f>NA()</f>
        <v>#N/A</v>
      </c>
      <c r="I542" s="31" t="e">
        <f>NA()</f>
        <v>#N/A</v>
      </c>
      <c r="J542" s="31" t="e">
        <f>NA()</f>
        <v>#N/A</v>
      </c>
      <c r="L542" s="115"/>
      <c r="M542" s="72" t="e">
        <f t="shared" si="9"/>
        <v>#N/A</v>
      </c>
    </row>
    <row r="543" spans="1:15">
      <c r="A543" s="28" t="s">
        <v>138</v>
      </c>
      <c r="C543" s="28" t="s">
        <v>118</v>
      </c>
      <c r="D543" s="31">
        <f>1.5</f>
        <v>1.5</v>
      </c>
      <c r="E543" s="73">
        <f>1.125</f>
        <v>1.125</v>
      </c>
      <c r="F543" s="72">
        <v>1.3</v>
      </c>
      <c r="G543" s="29">
        <v>5.25</v>
      </c>
      <c r="H543" s="29" t="e">
        <f>NA()</f>
        <v>#N/A</v>
      </c>
      <c r="I543" s="31" t="e">
        <f>NA()</f>
        <v>#N/A</v>
      </c>
      <c r="J543" s="29" t="e">
        <f>NA()</f>
        <v>#N/A</v>
      </c>
      <c r="L543" s="115"/>
      <c r="M543" s="72" t="e">
        <f t="shared" si="9"/>
        <v>#N/A</v>
      </c>
    </row>
    <row r="544" spans="1:15">
      <c r="C544" s="28"/>
      <c r="D544" s="31"/>
      <c r="E544" s="73"/>
      <c r="F544" s="72"/>
      <c r="H544" s="29"/>
      <c r="L544" s="115"/>
      <c r="M544" s="72"/>
    </row>
    <row r="545" spans="1:15">
      <c r="B545" s="175"/>
      <c r="C545" s="28"/>
      <c r="D545" s="31"/>
      <c r="E545" s="73"/>
      <c r="H545" s="29"/>
      <c r="L545" s="115"/>
      <c r="M545" s="72"/>
    </row>
    <row r="546" spans="1:15">
      <c r="B546" s="175"/>
      <c r="C546" s="28"/>
      <c r="D546" s="31"/>
      <c r="E546" s="73"/>
      <c r="F546" s="72"/>
      <c r="H546" s="29"/>
      <c r="L546" s="115"/>
      <c r="M546" s="72"/>
    </row>
    <row r="547" spans="1:15">
      <c r="A547" s="29"/>
      <c r="C547" s="107" t="s">
        <v>139</v>
      </c>
      <c r="D547" s="31"/>
      <c r="E547" s="119"/>
      <c r="F547" s="72"/>
      <c r="H547" s="29"/>
      <c r="I547" s="29"/>
      <c r="L547" s="115"/>
      <c r="M547" s="72">
        <f t="shared" ref="M547:M552" si="10">H547-(I547+J547+K547+L547)</f>
        <v>0</v>
      </c>
    </row>
    <row r="548" spans="1:15">
      <c r="A548" s="28" t="s">
        <v>140</v>
      </c>
      <c r="C548" s="28" t="s">
        <v>141</v>
      </c>
      <c r="D548" s="31">
        <f>4</f>
        <v>4</v>
      </c>
      <c r="E548" s="29">
        <f>2.875</f>
        <v>2.875</v>
      </c>
      <c r="F548" s="31">
        <v>11.3</v>
      </c>
      <c r="G548" s="29">
        <v>13.75</v>
      </c>
      <c r="H548" s="29" t="e">
        <f>NA()</f>
        <v>#N/A</v>
      </c>
      <c r="I548" s="31" t="e">
        <f>NA()</f>
        <v>#N/A</v>
      </c>
      <c r="J548" s="31" t="e">
        <f>NA()</f>
        <v>#N/A</v>
      </c>
      <c r="K548" s="114" t="e">
        <f>H548-(I548+J548)</f>
        <v>#N/A</v>
      </c>
      <c r="M548" s="72" t="e">
        <f t="shared" si="10"/>
        <v>#N/A</v>
      </c>
      <c r="O548" s="72"/>
    </row>
    <row r="549" spans="1:15">
      <c r="A549" s="28" t="s">
        <v>142</v>
      </c>
      <c r="C549" s="28" t="s">
        <v>143</v>
      </c>
      <c r="D549" s="31">
        <f>4</f>
        <v>4</v>
      </c>
      <c r="E549" s="31">
        <f>3</f>
        <v>3</v>
      </c>
      <c r="F549" s="31">
        <v>12</v>
      </c>
      <c r="G549" s="29">
        <v>14</v>
      </c>
      <c r="H549" s="29" t="e">
        <f>NA()</f>
        <v>#N/A</v>
      </c>
      <c r="I549" s="31" t="e">
        <f>NA()</f>
        <v>#N/A</v>
      </c>
      <c r="J549" s="31" t="e">
        <f>NA()</f>
        <v>#N/A</v>
      </c>
      <c r="K549" s="114" t="e">
        <f>H549-(I549+J549)</f>
        <v>#N/A</v>
      </c>
      <c r="M549" s="72" t="e">
        <f t="shared" si="10"/>
        <v>#N/A</v>
      </c>
      <c r="O549" s="72"/>
    </row>
    <row r="550" spans="1:15">
      <c r="A550" s="28" t="s">
        <v>144</v>
      </c>
      <c r="C550" s="28" t="s">
        <v>145</v>
      </c>
      <c r="D550" s="31">
        <f>5</f>
        <v>5</v>
      </c>
      <c r="E550" s="31">
        <f>4.8</f>
        <v>4.8</v>
      </c>
      <c r="F550" s="31">
        <v>22.5</v>
      </c>
      <c r="G550" s="31">
        <v>19.600000000000001</v>
      </c>
      <c r="H550" s="29" t="e">
        <f>NA()</f>
        <v>#N/A</v>
      </c>
      <c r="I550" s="31" t="e">
        <f>NA()</f>
        <v>#N/A</v>
      </c>
      <c r="J550" s="31" t="e">
        <f>NA()</f>
        <v>#N/A</v>
      </c>
      <c r="K550" s="114" t="e">
        <f>H550-(I550+J550)</f>
        <v>#N/A</v>
      </c>
      <c r="M550" s="72" t="e">
        <f t="shared" si="10"/>
        <v>#N/A</v>
      </c>
      <c r="O550" s="72"/>
    </row>
    <row r="551" spans="1:15">
      <c r="A551" s="28" t="s">
        <v>146</v>
      </c>
      <c r="C551" s="28" t="s">
        <v>147</v>
      </c>
      <c r="D551" s="31">
        <f>4.8</f>
        <v>4.8</v>
      </c>
      <c r="E551" s="31">
        <f>2.425</f>
        <v>2.4249999999999998</v>
      </c>
      <c r="F551" s="31">
        <v>10.6</v>
      </c>
      <c r="G551" s="29">
        <v>14.45</v>
      </c>
      <c r="H551" s="29" t="e">
        <f>NA()</f>
        <v>#N/A</v>
      </c>
      <c r="I551" s="29"/>
      <c r="J551" s="31" t="e">
        <f>NA()</f>
        <v>#N/A</v>
      </c>
      <c r="M551" s="72" t="e">
        <f t="shared" si="10"/>
        <v>#N/A</v>
      </c>
      <c r="O551" s="72"/>
    </row>
    <row r="552" spans="1:15">
      <c r="A552" s="28" t="s">
        <v>148</v>
      </c>
      <c r="B552" s="175"/>
      <c r="C552" s="28" t="s">
        <v>149</v>
      </c>
      <c r="D552" s="31">
        <f>7.55</f>
        <v>7.55</v>
      </c>
      <c r="E552" s="31">
        <f>4.8</f>
        <v>4.8</v>
      </c>
      <c r="F552" s="31">
        <v>34</v>
      </c>
      <c r="G552" s="31">
        <v>24.7</v>
      </c>
      <c r="H552" s="31" t="e">
        <f>NA()</f>
        <v>#N/A</v>
      </c>
      <c r="I552" s="31" t="e">
        <f>NA()</f>
        <v>#N/A</v>
      </c>
      <c r="J552" s="31" t="e">
        <f>NA()</f>
        <v>#N/A</v>
      </c>
      <c r="M552" s="72" t="e">
        <f t="shared" si="10"/>
        <v>#N/A</v>
      </c>
    </row>
    <row r="553" spans="1:15">
      <c r="B553" s="175"/>
      <c r="C553" s="28"/>
      <c r="D553" s="31"/>
      <c r="E553" s="31"/>
      <c r="F553" s="31"/>
      <c r="G553" s="31"/>
      <c r="J553" s="31"/>
      <c r="M553" s="72"/>
    </row>
    <row r="554" spans="1:15">
      <c r="B554" s="175"/>
      <c r="C554" s="28"/>
      <c r="D554" s="31"/>
      <c r="E554" s="31"/>
      <c r="F554" s="31"/>
      <c r="G554" s="31"/>
      <c r="J554" s="31"/>
      <c r="M554" s="72"/>
    </row>
    <row r="555" spans="1:15">
      <c r="B555" s="175"/>
      <c r="C555" s="28"/>
      <c r="D555" s="31"/>
      <c r="E555" s="31"/>
      <c r="J555" s="31"/>
      <c r="M555" s="72"/>
    </row>
    <row r="556" spans="1:15">
      <c r="B556" s="175"/>
      <c r="C556" s="28"/>
      <c r="D556" s="31"/>
      <c r="E556" s="31"/>
      <c r="F556" s="31"/>
      <c r="G556" s="31"/>
      <c r="J556" s="31"/>
      <c r="M556" s="72"/>
    </row>
    <row r="557" spans="1:15">
      <c r="A557" s="29"/>
      <c r="C557" s="107" t="s">
        <v>150</v>
      </c>
      <c r="D557" s="29"/>
      <c r="E557" s="31"/>
      <c r="G557" s="31"/>
      <c r="H557" s="29"/>
      <c r="I557" s="29"/>
      <c r="M557" s="72">
        <f>H557-(I557+J557+K557+L557)</f>
        <v>0</v>
      </c>
    </row>
    <row r="558" spans="1:15">
      <c r="A558" s="28" t="s">
        <v>151</v>
      </c>
      <c r="C558" s="120" t="s">
        <v>152</v>
      </c>
      <c r="D558" s="115">
        <f>6.3</f>
        <v>6.3</v>
      </c>
      <c r="E558" s="115">
        <f>2.9</f>
        <v>2.9</v>
      </c>
      <c r="F558" s="31">
        <v>18.149999999999999</v>
      </c>
      <c r="G558" s="29">
        <v>18.399999999999999</v>
      </c>
      <c r="H558" s="121" t="e">
        <f>NA()</f>
        <v>#N/A</v>
      </c>
      <c r="I558" s="115" t="e">
        <f>NA()</f>
        <v>#N/A</v>
      </c>
      <c r="J558" s="115" t="e">
        <f>NA()</f>
        <v>#N/A</v>
      </c>
      <c r="K558" s="115" t="e">
        <f>H558-(I558+J558)</f>
        <v>#N/A</v>
      </c>
      <c r="M558" s="72" t="e">
        <f>H558-(I558+J558+K558+L558)</f>
        <v>#N/A</v>
      </c>
      <c r="O558" s="72"/>
    </row>
    <row r="559" spans="1:15">
      <c r="A559" s="28" t="s">
        <v>153</v>
      </c>
      <c r="C559" s="28" t="s">
        <v>154</v>
      </c>
      <c r="D559" s="31">
        <f>3.3</f>
        <v>3.3</v>
      </c>
      <c r="E559" s="73">
        <f>3</f>
        <v>3</v>
      </c>
      <c r="F559" s="72">
        <v>10</v>
      </c>
      <c r="G559" s="31">
        <v>12.6</v>
      </c>
      <c r="H559" s="31" t="e">
        <f>NA()</f>
        <v>#N/A</v>
      </c>
      <c r="I559" s="31" t="e">
        <f>NA()</f>
        <v>#N/A</v>
      </c>
      <c r="J559" s="31" t="e">
        <f>NA()</f>
        <v>#N/A</v>
      </c>
      <c r="K559" s="114" t="e">
        <f>H559-(I559+J559)</f>
        <v>#N/A</v>
      </c>
      <c r="M559" s="72" t="e">
        <f>H559-(I559+J559+K559+L559)</f>
        <v>#N/A</v>
      </c>
    </row>
    <row r="560" spans="1:15">
      <c r="A560" s="28" t="s">
        <v>155</v>
      </c>
      <c r="C560" s="116" t="s">
        <v>132</v>
      </c>
      <c r="D560" s="117">
        <f>2.75</f>
        <v>2.75</v>
      </c>
      <c r="E560" s="122">
        <f>2.225</f>
        <v>2.2250000000000001</v>
      </c>
      <c r="F560" s="72">
        <v>6.15</v>
      </c>
      <c r="G560" s="31">
        <v>9.9499999999999993</v>
      </c>
      <c r="H560" s="117" t="e">
        <f>NA()</f>
        <v>#N/A</v>
      </c>
      <c r="I560" s="117"/>
      <c r="J560" s="117" t="e">
        <f>NA()</f>
        <v>#N/A</v>
      </c>
      <c r="L560" s="117" t="e">
        <f>H560-(I560+J560)</f>
        <v>#N/A</v>
      </c>
      <c r="M560" s="72" t="e">
        <f>H560-(I560+J560+K560+L560)</f>
        <v>#N/A</v>
      </c>
      <c r="O560" s="72"/>
    </row>
    <row r="561" spans="1:15">
      <c r="A561" s="28" t="s">
        <v>156</v>
      </c>
      <c r="C561" s="116" t="s">
        <v>157</v>
      </c>
      <c r="D561" s="117">
        <f>4</f>
        <v>4</v>
      </c>
      <c r="E561" s="118">
        <f>2.75</f>
        <v>2.75</v>
      </c>
      <c r="F561" s="72">
        <v>11.9</v>
      </c>
      <c r="G561" s="31">
        <v>13.5</v>
      </c>
      <c r="H561" s="117" t="e">
        <f>NA()</f>
        <v>#N/A</v>
      </c>
      <c r="I561" s="117" t="e">
        <f>NA()</f>
        <v>#N/A</v>
      </c>
      <c r="J561" s="117" t="e">
        <f>NA()</f>
        <v>#N/A</v>
      </c>
      <c r="K561" s="114"/>
      <c r="L561" s="117" t="e">
        <f>H561-(I561+J561)</f>
        <v>#N/A</v>
      </c>
      <c r="M561" s="72"/>
      <c r="O561" s="72"/>
    </row>
    <row r="562" spans="1:15">
      <c r="A562" s="28" t="s">
        <v>158</v>
      </c>
      <c r="C562" s="116" t="s">
        <v>159</v>
      </c>
      <c r="D562" s="117">
        <f>6.3</f>
        <v>6.3</v>
      </c>
      <c r="E562" s="117">
        <f>2.9</f>
        <v>2.9</v>
      </c>
      <c r="F562" s="72">
        <v>18.399999999999999</v>
      </c>
      <c r="G562" s="31">
        <v>18.399999999999999</v>
      </c>
      <c r="H562" s="117" t="e">
        <f>NA()</f>
        <v>#N/A</v>
      </c>
      <c r="I562" s="117" t="e">
        <f>NA()</f>
        <v>#N/A</v>
      </c>
      <c r="J562" s="117" t="e">
        <f>NA()</f>
        <v>#N/A</v>
      </c>
      <c r="K562" s="114"/>
      <c r="L562" s="117" t="e">
        <f>H562-(I562+J562)</f>
        <v>#N/A</v>
      </c>
      <c r="M562" s="72"/>
    </row>
    <row r="563" spans="1:15">
      <c r="A563" s="28" t="s">
        <v>160</v>
      </c>
      <c r="C563" s="28" t="s">
        <v>161</v>
      </c>
      <c r="D563" s="108">
        <f>6.3</f>
        <v>6.3</v>
      </c>
      <c r="E563" s="73">
        <f>3</f>
        <v>3</v>
      </c>
      <c r="F563" s="72">
        <v>13.4</v>
      </c>
      <c r="G563" s="31">
        <v>18.600000000000001</v>
      </c>
      <c r="H563" s="31" t="e">
        <f>NA()</f>
        <v>#N/A</v>
      </c>
      <c r="I563" s="31" t="e">
        <f>NA()</f>
        <v>#N/A</v>
      </c>
      <c r="J563" s="31" t="e">
        <f>NA()</f>
        <v>#N/A</v>
      </c>
      <c r="K563" s="114" t="e">
        <f>H563-(I563+J563)</f>
        <v>#N/A</v>
      </c>
      <c r="L563" s="115"/>
      <c r="M563" s="72" t="e">
        <f>H563-(I563+J563+K563+L563)</f>
        <v>#N/A</v>
      </c>
      <c r="O563" s="72"/>
    </row>
    <row r="564" spans="1:15">
      <c r="A564" s="28" t="s">
        <v>162</v>
      </c>
      <c r="C564" s="116" t="s">
        <v>163</v>
      </c>
      <c r="D564" s="117">
        <f>2.2</f>
        <v>2.2000000000000002</v>
      </c>
      <c r="E564" s="118">
        <f>1.35</f>
        <v>1.35</v>
      </c>
      <c r="F564" s="72">
        <v>3</v>
      </c>
      <c r="G564" s="31">
        <v>7.1</v>
      </c>
      <c r="H564" s="117" t="e">
        <f>NA()</f>
        <v>#N/A</v>
      </c>
      <c r="I564" s="117"/>
      <c r="J564" s="117" t="e">
        <f>NA()</f>
        <v>#N/A</v>
      </c>
      <c r="L564" s="117" t="e">
        <f>H564-(I564+J564)</f>
        <v>#N/A</v>
      </c>
      <c r="M564" s="72" t="e">
        <f>H564-(I564+J564+K564+L564)</f>
        <v>#N/A</v>
      </c>
      <c r="O564" s="117"/>
    </row>
    <row r="565" spans="1:15">
      <c r="A565" s="28" t="s">
        <v>164</v>
      </c>
      <c r="C565" s="116" t="s">
        <v>165</v>
      </c>
      <c r="D565" s="117">
        <f>1.35</f>
        <v>1.35</v>
      </c>
      <c r="E565" s="118">
        <f>0.85</f>
        <v>0.85</v>
      </c>
      <c r="F565" s="72">
        <v>1.1499999999999999</v>
      </c>
      <c r="G565" s="29">
        <v>4.4000000000000004</v>
      </c>
      <c r="H565" s="117" t="e">
        <f>NA()</f>
        <v>#N/A</v>
      </c>
      <c r="I565" s="117"/>
      <c r="J565" s="117" t="e">
        <f>NA()</f>
        <v>#N/A</v>
      </c>
      <c r="L565" s="117" t="e">
        <f>H565-(I565+J565)</f>
        <v>#N/A</v>
      </c>
      <c r="M565" s="72" t="e">
        <f>H565-(I565+J565+K565+L565)</f>
        <v>#N/A</v>
      </c>
      <c r="O565" s="72"/>
    </row>
    <row r="566" spans="1:15">
      <c r="C566" s="116"/>
      <c r="D566" s="117"/>
      <c r="E566" s="118"/>
      <c r="F566" s="72"/>
      <c r="H566" s="117"/>
      <c r="I566" s="117"/>
      <c r="J566" s="117"/>
      <c r="L566" s="117"/>
      <c r="M566" s="72"/>
      <c r="O566" s="72"/>
    </row>
    <row r="567" spans="1:15">
      <c r="A567" s="29"/>
      <c r="C567" s="107" t="s">
        <v>166</v>
      </c>
      <c r="D567" s="117"/>
      <c r="E567" s="118"/>
      <c r="F567" s="72"/>
      <c r="G567" s="31"/>
      <c r="H567" s="117"/>
      <c r="I567" s="29"/>
      <c r="J567" s="117"/>
      <c r="L567" s="117"/>
      <c r="M567" s="72">
        <f t="shared" ref="M567:M594" si="11">H567-(I567+J567+K567+L567)</f>
        <v>0</v>
      </c>
      <c r="O567" s="117"/>
    </row>
    <row r="568" spans="1:15">
      <c r="A568" s="28" t="s">
        <v>167</v>
      </c>
      <c r="C568" s="28" t="s">
        <v>168</v>
      </c>
      <c r="D568" s="108">
        <f>6.3</f>
        <v>6.3</v>
      </c>
      <c r="E568" s="73">
        <f>4.5</f>
        <v>4.5</v>
      </c>
      <c r="F568" s="72">
        <v>19.75</v>
      </c>
      <c r="G568" s="31">
        <v>21.6</v>
      </c>
      <c r="H568" s="31" t="e">
        <f>NA()</f>
        <v>#N/A</v>
      </c>
      <c r="I568" s="31" t="e">
        <f>NA()</f>
        <v>#N/A</v>
      </c>
      <c r="J568" s="31" t="e">
        <f>NA()</f>
        <v>#N/A</v>
      </c>
      <c r="K568" s="114" t="e">
        <f>H568-(I568+J568)</f>
        <v>#N/A</v>
      </c>
      <c r="M568" s="72" t="e">
        <f t="shared" si="11"/>
        <v>#N/A</v>
      </c>
    </row>
    <row r="569" spans="1:15">
      <c r="A569" s="28" t="s">
        <v>169</v>
      </c>
      <c r="C569" s="116" t="s">
        <v>170</v>
      </c>
      <c r="D569" s="117">
        <f>F569/E569</f>
        <v>2.9999999999999996</v>
      </c>
      <c r="E569" s="117">
        <f>2.7</f>
        <v>2.7</v>
      </c>
      <c r="F569" s="31">
        <v>8.1</v>
      </c>
      <c r="G569" s="29">
        <v>11.4</v>
      </c>
      <c r="H569" s="117" t="e">
        <f>NA()</f>
        <v>#N/A</v>
      </c>
      <c r="I569" s="117"/>
      <c r="J569" s="117" t="e">
        <f>NA()</f>
        <v>#N/A</v>
      </c>
      <c r="L569" s="117" t="e">
        <f>H569-(I569+J569)</f>
        <v>#N/A</v>
      </c>
      <c r="M569" s="72" t="e">
        <f t="shared" si="11"/>
        <v>#N/A</v>
      </c>
    </row>
    <row r="570" spans="1:15">
      <c r="A570" s="28" t="s">
        <v>171</v>
      </c>
      <c r="C570" s="28" t="s">
        <v>172</v>
      </c>
      <c r="D570" s="108">
        <f>2.7</f>
        <v>2.7</v>
      </c>
      <c r="E570" s="73">
        <f>2.5</f>
        <v>2.5</v>
      </c>
      <c r="F570" s="72">
        <v>6.75</v>
      </c>
      <c r="G570" s="31">
        <v>10.4</v>
      </c>
      <c r="H570" s="31" t="e">
        <f>NA()</f>
        <v>#N/A</v>
      </c>
      <c r="J570" s="31" t="e">
        <f>NA()</f>
        <v>#N/A</v>
      </c>
      <c r="K570" s="114" t="e">
        <f>H570-(I570+J570)</f>
        <v>#N/A</v>
      </c>
      <c r="L570" s="72"/>
      <c r="M570" s="72" t="e">
        <f t="shared" si="11"/>
        <v>#N/A</v>
      </c>
      <c r="O570" s="72"/>
    </row>
    <row r="571" spans="1:15">
      <c r="A571" s="28" t="s">
        <v>173</v>
      </c>
      <c r="C571" s="28" t="s">
        <v>174</v>
      </c>
      <c r="D571" s="108">
        <f>6.3</f>
        <v>6.3</v>
      </c>
      <c r="E571" s="73">
        <f>4.5</f>
        <v>4.5</v>
      </c>
      <c r="F571" s="72">
        <v>21.6</v>
      </c>
      <c r="G571" s="31">
        <v>21.6</v>
      </c>
      <c r="H571" s="31" t="e">
        <f>NA()</f>
        <v>#N/A</v>
      </c>
      <c r="I571" s="31" t="e">
        <f>NA()</f>
        <v>#N/A</v>
      </c>
      <c r="J571" s="31" t="e">
        <f>NA()</f>
        <v>#N/A</v>
      </c>
      <c r="K571" s="114" t="e">
        <f>H571-(I571+J571)</f>
        <v>#N/A</v>
      </c>
      <c r="L571" s="72"/>
      <c r="M571" s="72" t="e">
        <f t="shared" si="11"/>
        <v>#N/A</v>
      </c>
      <c r="O571" s="72"/>
    </row>
    <row r="572" spans="1:15">
      <c r="A572" s="28" t="s">
        <v>175</v>
      </c>
      <c r="C572" s="28" t="s">
        <v>176</v>
      </c>
      <c r="D572" s="108">
        <f>4.5</f>
        <v>4.5</v>
      </c>
      <c r="E572" s="73">
        <f>2.7</f>
        <v>2.7</v>
      </c>
      <c r="F572" s="72">
        <v>12.15</v>
      </c>
      <c r="G572" s="31">
        <v>14.4</v>
      </c>
      <c r="H572" s="31" t="e">
        <f>NA()</f>
        <v>#N/A</v>
      </c>
      <c r="I572" s="31" t="e">
        <f>NA()</f>
        <v>#N/A</v>
      </c>
      <c r="J572" s="31" t="e">
        <f>NA()</f>
        <v>#N/A</v>
      </c>
      <c r="K572" s="114" t="e">
        <f>H572-(I572+J572)</f>
        <v>#N/A</v>
      </c>
      <c r="L572" s="72"/>
      <c r="M572" s="72" t="e">
        <f t="shared" si="11"/>
        <v>#N/A</v>
      </c>
      <c r="O572" s="72"/>
    </row>
    <row r="573" spans="1:15">
      <c r="A573" s="28" t="s">
        <v>177</v>
      </c>
      <c r="C573" s="28" t="s">
        <v>178</v>
      </c>
      <c r="D573" s="108">
        <f>3.5</f>
        <v>3.5</v>
      </c>
      <c r="E573" s="73">
        <f>1.8</f>
        <v>1.8</v>
      </c>
      <c r="F573" s="72">
        <v>5.9</v>
      </c>
      <c r="G573" s="31">
        <v>10.6</v>
      </c>
      <c r="H573" s="31" t="e">
        <f>NA()</f>
        <v>#N/A</v>
      </c>
      <c r="J573" s="31"/>
      <c r="K573" s="114" t="e">
        <f>H573-(I573+J573)</f>
        <v>#N/A</v>
      </c>
      <c r="L573" s="72"/>
      <c r="M573" s="72" t="e">
        <f t="shared" si="11"/>
        <v>#N/A</v>
      </c>
      <c r="O573" s="72"/>
    </row>
    <row r="574" spans="1:15">
      <c r="A574" s="28" t="s">
        <v>179</v>
      </c>
      <c r="C574" s="116" t="s">
        <v>180</v>
      </c>
      <c r="D574" s="117">
        <f>1.65</f>
        <v>1.65</v>
      </c>
      <c r="E574" s="118">
        <f>1.4</f>
        <v>1.4</v>
      </c>
      <c r="F574" s="72">
        <v>2.2999999999999998</v>
      </c>
      <c r="G574" s="31">
        <v>6.1</v>
      </c>
      <c r="H574" s="117" t="e">
        <f>NA()</f>
        <v>#N/A</v>
      </c>
      <c r="I574" s="29"/>
      <c r="J574" s="117" t="e">
        <f>NA()</f>
        <v>#N/A</v>
      </c>
      <c r="L574" s="117" t="e">
        <f>H574-(I574+J574)</f>
        <v>#N/A</v>
      </c>
      <c r="M574" s="72" t="e">
        <f t="shared" si="11"/>
        <v>#N/A</v>
      </c>
      <c r="O574" s="117"/>
    </row>
    <row r="575" spans="1:15">
      <c r="A575" s="28" t="s">
        <v>181</v>
      </c>
      <c r="C575" s="116" t="s">
        <v>132</v>
      </c>
      <c r="D575" s="117">
        <f>1.55</f>
        <v>1.55</v>
      </c>
      <c r="E575" s="118">
        <f>1.4</f>
        <v>1.4</v>
      </c>
      <c r="F575" s="72">
        <v>2.15</v>
      </c>
      <c r="G575" s="31">
        <v>5.9</v>
      </c>
      <c r="H575" s="117" t="e">
        <f>NA()</f>
        <v>#N/A</v>
      </c>
      <c r="I575" s="29"/>
      <c r="J575" s="117" t="e">
        <f>NA()</f>
        <v>#N/A</v>
      </c>
      <c r="L575" s="117" t="e">
        <f>H575-(I575+J575)</f>
        <v>#N/A</v>
      </c>
      <c r="M575" s="72" t="e">
        <f t="shared" si="11"/>
        <v>#N/A</v>
      </c>
      <c r="O575" s="117"/>
    </row>
    <row r="576" spans="1:15">
      <c r="A576" s="28" t="s">
        <v>182</v>
      </c>
      <c r="B576" s="175"/>
      <c r="C576" s="28" t="s">
        <v>183</v>
      </c>
      <c r="D576" s="108">
        <f>6.3</f>
        <v>6.3</v>
      </c>
      <c r="E576" s="73">
        <f>4.5</f>
        <v>4.5</v>
      </c>
      <c r="F576" s="72">
        <v>22</v>
      </c>
      <c r="G576" s="31">
        <v>21.6</v>
      </c>
      <c r="H576" s="31" t="e">
        <f>NA()</f>
        <v>#N/A</v>
      </c>
      <c r="I576" s="31" t="e">
        <f>NA()</f>
        <v>#N/A</v>
      </c>
      <c r="J576" s="31" t="e">
        <f>NA()</f>
        <v>#N/A</v>
      </c>
      <c r="K576" s="114" t="e">
        <f>H576-(I576+J576)</f>
        <v>#N/A</v>
      </c>
      <c r="L576" s="72"/>
      <c r="M576" s="72" t="e">
        <f t="shared" si="11"/>
        <v>#N/A</v>
      </c>
      <c r="O576" s="72"/>
    </row>
    <row r="577" spans="1:15">
      <c r="A577" s="28" t="s">
        <v>184</v>
      </c>
      <c r="C577" s="116" t="s">
        <v>180</v>
      </c>
      <c r="D577" s="117">
        <f>1.8</f>
        <v>1.8</v>
      </c>
      <c r="E577" s="118">
        <f>0.9</f>
        <v>0.9</v>
      </c>
      <c r="F577" s="72">
        <v>1.6</v>
      </c>
      <c r="G577" s="31">
        <v>5.4</v>
      </c>
      <c r="H577" s="117" t="e">
        <f>NA()</f>
        <v>#N/A</v>
      </c>
      <c r="I577" s="29"/>
      <c r="J577" s="117" t="e">
        <f>NA()</f>
        <v>#N/A</v>
      </c>
      <c r="L577" s="117" t="e">
        <f>H577-(I577+J577)</f>
        <v>#N/A</v>
      </c>
      <c r="M577" s="72" t="e">
        <f t="shared" si="11"/>
        <v>#N/A</v>
      </c>
      <c r="O577" s="117"/>
    </row>
    <row r="578" spans="1:15">
      <c r="A578" s="28" t="s">
        <v>185</v>
      </c>
      <c r="C578" s="116" t="s">
        <v>180</v>
      </c>
      <c r="D578" s="117">
        <f>1.8</f>
        <v>1.8</v>
      </c>
      <c r="E578" s="118">
        <f>0.9</f>
        <v>0.9</v>
      </c>
      <c r="F578" s="72">
        <v>1.6</v>
      </c>
      <c r="G578" s="31">
        <v>5.4</v>
      </c>
      <c r="H578" s="117" t="e">
        <f>NA()</f>
        <v>#N/A</v>
      </c>
      <c r="I578" s="29"/>
      <c r="J578" s="117" t="e">
        <f>NA()</f>
        <v>#N/A</v>
      </c>
      <c r="L578" s="117" t="e">
        <f>H578-(I578+J578)</f>
        <v>#N/A</v>
      </c>
      <c r="M578" s="72" t="e">
        <f t="shared" si="11"/>
        <v>#N/A</v>
      </c>
      <c r="O578" s="117"/>
    </row>
    <row r="579" spans="1:15">
      <c r="A579" s="28" t="s">
        <v>186</v>
      </c>
      <c r="C579" s="116" t="s">
        <v>132</v>
      </c>
      <c r="D579" s="117">
        <f>1.8</f>
        <v>1.8</v>
      </c>
      <c r="E579" s="118">
        <f>1.35</f>
        <v>1.35</v>
      </c>
      <c r="F579" s="72">
        <v>2.4</v>
      </c>
      <c r="G579" s="31">
        <v>6.3</v>
      </c>
      <c r="H579" s="117" t="e">
        <f>NA()</f>
        <v>#N/A</v>
      </c>
      <c r="I579" s="29"/>
      <c r="J579" s="117" t="e">
        <f>NA()</f>
        <v>#N/A</v>
      </c>
      <c r="L579" s="117" t="e">
        <f>H579-(I579+J579)</f>
        <v>#N/A</v>
      </c>
      <c r="M579" s="72" t="e">
        <f t="shared" si="11"/>
        <v>#N/A</v>
      </c>
      <c r="O579" s="117"/>
    </row>
    <row r="580" spans="1:15">
      <c r="A580" s="28" t="s">
        <v>187</v>
      </c>
      <c r="C580" s="28" t="s">
        <v>188</v>
      </c>
      <c r="D580" s="108">
        <f>5.4</f>
        <v>5.4</v>
      </c>
      <c r="E580" s="73">
        <f>2.9</f>
        <v>2.9</v>
      </c>
      <c r="F580" s="72">
        <v>15.7</v>
      </c>
      <c r="G580" s="31">
        <v>16.600000000000001</v>
      </c>
      <c r="H580" s="31" t="e">
        <f>NA()</f>
        <v>#N/A</v>
      </c>
      <c r="I580" s="31" t="e">
        <f>NA()</f>
        <v>#N/A</v>
      </c>
      <c r="J580" s="31"/>
      <c r="K580" s="114" t="e">
        <f t="shared" ref="K580:K585" si="12">H580-(I580+J580)</f>
        <v>#N/A</v>
      </c>
      <c r="L580" s="72"/>
      <c r="M580" s="72" t="e">
        <f t="shared" si="11"/>
        <v>#N/A</v>
      </c>
      <c r="O580" s="72"/>
    </row>
    <row r="581" spans="1:15">
      <c r="A581" s="28" t="s">
        <v>189</v>
      </c>
      <c r="C581" s="28" t="s">
        <v>188</v>
      </c>
      <c r="D581" s="108">
        <f>5.4</f>
        <v>5.4</v>
      </c>
      <c r="E581" s="73">
        <f>3.1</f>
        <v>3.1</v>
      </c>
      <c r="F581" s="72">
        <v>16.8</v>
      </c>
      <c r="G581" s="31">
        <v>17</v>
      </c>
      <c r="H581" s="31" t="e">
        <f>NA()</f>
        <v>#N/A</v>
      </c>
      <c r="I581" s="31" t="e">
        <f>NA()</f>
        <v>#N/A</v>
      </c>
      <c r="J581" s="31" t="e">
        <f>NA()</f>
        <v>#N/A</v>
      </c>
      <c r="K581" s="114" t="e">
        <f t="shared" si="12"/>
        <v>#N/A</v>
      </c>
      <c r="L581" s="72"/>
      <c r="M581" s="72" t="e">
        <f t="shared" si="11"/>
        <v>#N/A</v>
      </c>
      <c r="O581" s="72"/>
    </row>
    <row r="582" spans="1:15">
      <c r="A582" s="28" t="s">
        <v>190</v>
      </c>
      <c r="C582" s="28" t="s">
        <v>188</v>
      </c>
      <c r="D582" s="108">
        <f>5.4</f>
        <v>5.4</v>
      </c>
      <c r="E582" s="73">
        <f>2.9</f>
        <v>2.9</v>
      </c>
      <c r="F582" s="72">
        <v>15.7</v>
      </c>
      <c r="G582" s="31">
        <v>16.600000000000001</v>
      </c>
      <c r="H582" s="31" t="e">
        <f>NA()</f>
        <v>#N/A</v>
      </c>
      <c r="I582" s="31" t="e">
        <f>NA()</f>
        <v>#N/A</v>
      </c>
      <c r="J582" s="31" t="e">
        <f>NA()</f>
        <v>#N/A</v>
      </c>
      <c r="K582" s="114" t="e">
        <f t="shared" si="12"/>
        <v>#N/A</v>
      </c>
      <c r="L582" s="72"/>
      <c r="M582" s="72" t="e">
        <f t="shared" si="11"/>
        <v>#N/A</v>
      </c>
      <c r="O582" s="72"/>
    </row>
    <row r="583" spans="1:15">
      <c r="A583" s="28" t="s">
        <v>191</v>
      </c>
      <c r="C583" s="28" t="s">
        <v>188</v>
      </c>
      <c r="D583" s="108">
        <f>5.4</f>
        <v>5.4</v>
      </c>
      <c r="E583" s="73">
        <f>3.1</f>
        <v>3.1</v>
      </c>
      <c r="F583" s="72">
        <v>16.8</v>
      </c>
      <c r="G583" s="31">
        <v>17</v>
      </c>
      <c r="H583" s="31" t="e">
        <f>NA()</f>
        <v>#N/A</v>
      </c>
      <c r="I583" s="31" t="e">
        <f>NA()</f>
        <v>#N/A</v>
      </c>
      <c r="J583" s="31" t="e">
        <f>NA()</f>
        <v>#N/A</v>
      </c>
      <c r="K583" s="114" t="e">
        <f t="shared" si="12"/>
        <v>#N/A</v>
      </c>
      <c r="L583" s="72"/>
      <c r="M583" s="72" t="e">
        <f t="shared" si="11"/>
        <v>#N/A</v>
      </c>
      <c r="O583" s="72"/>
    </row>
    <row r="584" spans="1:15">
      <c r="A584" s="28" t="s">
        <v>192</v>
      </c>
      <c r="C584" s="28" t="s">
        <v>188</v>
      </c>
      <c r="D584" s="108">
        <f>6.3</f>
        <v>6.3</v>
      </c>
      <c r="E584" s="73">
        <f>2.9</f>
        <v>2.9</v>
      </c>
      <c r="F584" s="72">
        <v>15.3</v>
      </c>
      <c r="G584" s="31">
        <v>18.399999999999999</v>
      </c>
      <c r="H584" s="31" t="e">
        <f>NA()</f>
        <v>#N/A</v>
      </c>
      <c r="I584" s="31" t="e">
        <f>NA()</f>
        <v>#N/A</v>
      </c>
      <c r="J584" s="31" t="e">
        <f>NA()</f>
        <v>#N/A</v>
      </c>
      <c r="K584" s="114" t="e">
        <f t="shared" si="12"/>
        <v>#N/A</v>
      </c>
      <c r="L584" s="72"/>
      <c r="M584" s="72" t="e">
        <f t="shared" si="11"/>
        <v>#N/A</v>
      </c>
      <c r="O584" s="72"/>
    </row>
    <row r="585" spans="1:15">
      <c r="A585" s="28" t="s">
        <v>193</v>
      </c>
      <c r="C585" s="28" t="s">
        <v>194</v>
      </c>
      <c r="D585" s="108">
        <f>1.7</f>
        <v>1.7</v>
      </c>
      <c r="E585" s="73">
        <f>1.5</f>
        <v>1.5</v>
      </c>
      <c r="F585" s="72">
        <v>2.5499999999999998</v>
      </c>
      <c r="G585" s="31">
        <v>6.4</v>
      </c>
      <c r="H585" s="31" t="e">
        <f>NA()</f>
        <v>#N/A</v>
      </c>
      <c r="J585" s="31" t="e">
        <f>NA()</f>
        <v>#N/A</v>
      </c>
      <c r="K585" s="114" t="e">
        <f t="shared" si="12"/>
        <v>#N/A</v>
      </c>
      <c r="L585" s="72"/>
      <c r="M585" s="72" t="e">
        <f t="shared" si="11"/>
        <v>#N/A</v>
      </c>
      <c r="O585" s="72"/>
    </row>
    <row r="586" spans="1:15">
      <c r="A586" s="29"/>
      <c r="C586" s="28"/>
      <c r="D586" s="108"/>
      <c r="E586" s="73"/>
      <c r="F586" s="72"/>
      <c r="J586" s="109"/>
      <c r="L586" s="72"/>
      <c r="M586" s="72">
        <f t="shared" si="11"/>
        <v>0</v>
      </c>
      <c r="O586" s="72"/>
    </row>
    <row r="587" spans="1:15">
      <c r="A587" s="29"/>
      <c r="C587" s="107" t="s">
        <v>195</v>
      </c>
      <c r="D587" s="108"/>
      <c r="E587" s="73"/>
      <c r="F587" s="72"/>
      <c r="G587" s="31"/>
      <c r="J587" s="109"/>
      <c r="L587" s="72"/>
      <c r="M587" s="72">
        <f t="shared" si="11"/>
        <v>0</v>
      </c>
      <c r="O587" s="72"/>
    </row>
    <row r="588" spans="1:15">
      <c r="A588" s="28" t="s">
        <v>196</v>
      </c>
      <c r="C588" s="28" t="s">
        <v>197</v>
      </c>
      <c r="D588" s="108">
        <f>6.3</f>
        <v>6.3</v>
      </c>
      <c r="E588" s="73">
        <f>4.5</f>
        <v>4.5</v>
      </c>
      <c r="F588" s="72">
        <v>18.649999999999999</v>
      </c>
      <c r="G588" s="31">
        <v>21.6</v>
      </c>
      <c r="H588" s="31" t="e">
        <f>NA()</f>
        <v>#N/A</v>
      </c>
      <c r="I588" s="31" t="e">
        <f>NA()</f>
        <v>#N/A</v>
      </c>
      <c r="J588" s="31" t="e">
        <f>NA()</f>
        <v>#N/A</v>
      </c>
      <c r="K588" s="114" t="e">
        <f>H588-(I588+J588)</f>
        <v>#N/A</v>
      </c>
      <c r="L588" s="72"/>
      <c r="M588" s="72" t="e">
        <f t="shared" si="11"/>
        <v>#N/A</v>
      </c>
      <c r="O588" s="72"/>
    </row>
    <row r="589" spans="1:15">
      <c r="A589" s="28" t="s">
        <v>198</v>
      </c>
      <c r="B589" s="175"/>
      <c r="C589" s="116" t="s">
        <v>199</v>
      </c>
      <c r="D589" s="117">
        <f>6.3</f>
        <v>6.3</v>
      </c>
      <c r="E589" s="118">
        <f>4.5</f>
        <v>4.5</v>
      </c>
      <c r="F589" s="72">
        <v>25.1</v>
      </c>
      <c r="G589" s="31">
        <v>21.6</v>
      </c>
      <c r="H589" s="117" t="e">
        <f>NA()</f>
        <v>#N/A</v>
      </c>
      <c r="I589" s="117" t="e">
        <f>NA()</f>
        <v>#N/A</v>
      </c>
      <c r="J589" s="117" t="e">
        <f>NA()</f>
        <v>#N/A</v>
      </c>
      <c r="L589" s="117" t="e">
        <f>H589-(I589+J589)</f>
        <v>#N/A</v>
      </c>
      <c r="M589" s="72" t="e">
        <f t="shared" si="11"/>
        <v>#N/A</v>
      </c>
      <c r="O589" s="117"/>
    </row>
    <row r="590" spans="1:15">
      <c r="A590" s="28" t="s">
        <v>200</v>
      </c>
      <c r="B590" s="175"/>
      <c r="C590" s="116" t="s">
        <v>132</v>
      </c>
      <c r="D590" s="117">
        <f>2.1</f>
        <v>2.1</v>
      </c>
      <c r="E590" s="118">
        <f>1</f>
        <v>1</v>
      </c>
      <c r="F590" s="72">
        <v>2.1</v>
      </c>
      <c r="G590" s="31">
        <v>6.2</v>
      </c>
      <c r="H590" s="117" t="e">
        <f>NA()</f>
        <v>#N/A</v>
      </c>
      <c r="I590" s="29"/>
      <c r="J590" s="117" t="e">
        <f>NA()</f>
        <v>#N/A</v>
      </c>
      <c r="L590" s="117" t="e">
        <f>H590-(I590+J590)</f>
        <v>#N/A</v>
      </c>
      <c r="M590" s="72" t="e">
        <f t="shared" si="11"/>
        <v>#N/A</v>
      </c>
      <c r="O590" s="117"/>
    </row>
    <row r="591" spans="1:15">
      <c r="A591" s="28" t="s">
        <v>201</v>
      </c>
      <c r="B591" s="175"/>
      <c r="C591" s="28" t="s">
        <v>202</v>
      </c>
      <c r="D591" s="108">
        <f>17.1</f>
        <v>17.100000000000001</v>
      </c>
      <c r="E591" s="73">
        <f>11.7</f>
        <v>11.7</v>
      </c>
      <c r="F591" s="72">
        <v>195.6</v>
      </c>
      <c r="G591" s="31">
        <v>57.6</v>
      </c>
      <c r="H591" s="31">
        <v>247.68</v>
      </c>
      <c r="I591" s="31">
        <v>208.12</v>
      </c>
      <c r="J591" s="31">
        <v>39.56</v>
      </c>
      <c r="K591" s="114"/>
      <c r="L591" s="72"/>
      <c r="M591" s="72">
        <f t="shared" si="11"/>
        <v>0</v>
      </c>
      <c r="O591" s="72"/>
    </row>
    <row r="592" spans="1:15">
      <c r="A592" s="28" t="s">
        <v>203</v>
      </c>
      <c r="B592" s="175"/>
      <c r="C592" s="28" t="s">
        <v>204</v>
      </c>
      <c r="D592" s="108">
        <f>3</f>
        <v>3</v>
      </c>
      <c r="E592" s="73">
        <f>2.37</f>
        <v>2.37</v>
      </c>
      <c r="F592" s="72">
        <v>8.1999999999999993</v>
      </c>
      <c r="G592" s="31">
        <v>10.74</v>
      </c>
      <c r="H592" s="31" t="e">
        <f>NA()</f>
        <v>#N/A</v>
      </c>
      <c r="I592" s="31" t="e">
        <f>NA()</f>
        <v>#N/A</v>
      </c>
      <c r="J592" s="31" t="e">
        <f>NA()</f>
        <v>#N/A</v>
      </c>
      <c r="K592" s="114" t="e">
        <f>H592-(I592+J592)</f>
        <v>#N/A</v>
      </c>
      <c r="L592" s="115"/>
      <c r="M592" s="72" t="e">
        <f t="shared" si="11"/>
        <v>#N/A</v>
      </c>
      <c r="O592" s="72"/>
    </row>
    <row r="593" spans="1:15">
      <c r="A593" s="29"/>
      <c r="B593" s="175"/>
      <c r="C593" s="28"/>
      <c r="D593" s="108"/>
      <c r="E593" s="73"/>
      <c r="F593" s="72"/>
      <c r="G593" s="31"/>
      <c r="J593" s="109"/>
      <c r="L593" s="115"/>
      <c r="M593" s="72">
        <f t="shared" si="11"/>
        <v>0</v>
      </c>
      <c r="O593" s="72"/>
    </row>
    <row r="594" spans="1:15">
      <c r="A594" s="29"/>
      <c r="B594" s="175"/>
      <c r="C594" s="28"/>
      <c r="D594" s="108"/>
      <c r="E594" s="73"/>
      <c r="G594" s="31"/>
      <c r="J594" s="109"/>
      <c r="L594" s="115"/>
      <c r="M594" s="72">
        <f t="shared" si="11"/>
        <v>0</v>
      </c>
      <c r="O594" s="72"/>
    </row>
    <row r="595" spans="1:15">
      <c r="A595" s="29"/>
      <c r="B595" s="175"/>
      <c r="C595" s="28"/>
      <c r="D595" s="108"/>
      <c r="E595" s="73"/>
      <c r="J595" s="109"/>
      <c r="L595" s="115"/>
      <c r="M595" s="72"/>
      <c r="O595" s="72"/>
    </row>
    <row r="596" spans="1:15">
      <c r="A596" s="29"/>
      <c r="B596" s="175"/>
      <c r="C596" s="28"/>
      <c r="D596" s="108"/>
      <c r="E596" s="73"/>
      <c r="F596" s="72"/>
      <c r="G596" s="31"/>
      <c r="J596" s="109"/>
      <c r="L596" s="115"/>
      <c r="M596" s="72"/>
      <c r="O596" s="72"/>
    </row>
    <row r="597" spans="1:15">
      <c r="A597" s="29"/>
      <c r="B597" s="175"/>
      <c r="C597" s="107" t="s">
        <v>205</v>
      </c>
      <c r="D597" s="108"/>
      <c r="E597" s="73"/>
      <c r="F597" s="72"/>
      <c r="G597" s="31"/>
      <c r="J597" s="109"/>
      <c r="L597" s="115"/>
      <c r="M597" s="72">
        <f t="shared" ref="M597:M608" si="13">H597-(I597+J597+K597+L597)</f>
        <v>0</v>
      </c>
      <c r="O597" s="72"/>
    </row>
    <row r="598" spans="1:15">
      <c r="A598" s="73" t="s">
        <v>206</v>
      </c>
      <c r="B598" s="175"/>
      <c r="C598" s="28" t="s">
        <v>207</v>
      </c>
      <c r="D598" s="31">
        <f>6.3</f>
        <v>6.3</v>
      </c>
      <c r="E598" s="31">
        <f>6.2</f>
        <v>6.2</v>
      </c>
      <c r="F598" s="72">
        <v>37.5</v>
      </c>
      <c r="G598" s="31">
        <v>25</v>
      </c>
      <c r="H598" s="31" t="e">
        <f>NA()</f>
        <v>#N/A</v>
      </c>
      <c r="I598" s="31" t="e">
        <f>NA()</f>
        <v>#N/A</v>
      </c>
      <c r="J598" s="31" t="e">
        <f>NA()</f>
        <v>#N/A</v>
      </c>
      <c r="K598" s="114" t="e">
        <f>H598-(I598+J598)</f>
        <v>#N/A</v>
      </c>
      <c r="L598" s="115"/>
      <c r="M598" s="72" t="e">
        <f t="shared" si="13"/>
        <v>#N/A</v>
      </c>
      <c r="O598" s="72"/>
    </row>
    <row r="599" spans="1:15">
      <c r="A599" s="73" t="s">
        <v>208</v>
      </c>
      <c r="B599" s="175"/>
      <c r="C599" s="116" t="s">
        <v>209</v>
      </c>
      <c r="D599" s="31">
        <f>6.3</f>
        <v>6.3</v>
      </c>
      <c r="E599" s="31">
        <f>6.2</f>
        <v>6.2</v>
      </c>
      <c r="F599" s="72">
        <v>30.85</v>
      </c>
      <c r="G599" s="31">
        <v>25</v>
      </c>
      <c r="H599" s="117" t="e">
        <f>NA()</f>
        <v>#N/A</v>
      </c>
      <c r="I599" s="29"/>
      <c r="J599" s="117" t="e">
        <f>NA()</f>
        <v>#N/A</v>
      </c>
      <c r="L599" s="117" t="e">
        <f>H599-(I599+J599)</f>
        <v>#N/A</v>
      </c>
      <c r="M599" s="72" t="e">
        <f t="shared" si="13"/>
        <v>#N/A</v>
      </c>
      <c r="O599" s="117"/>
    </row>
    <row r="600" spans="1:15">
      <c r="A600" s="73" t="s">
        <v>210</v>
      </c>
      <c r="B600" s="175"/>
      <c r="C600" s="116" t="s">
        <v>211</v>
      </c>
      <c r="D600" s="117">
        <f>3.2</f>
        <v>3.2</v>
      </c>
      <c r="E600" s="118">
        <f>2</f>
        <v>2</v>
      </c>
      <c r="F600" s="72">
        <v>6.4</v>
      </c>
      <c r="G600" s="31">
        <v>10.4</v>
      </c>
      <c r="H600" s="117" t="e">
        <f>NA()</f>
        <v>#N/A</v>
      </c>
      <c r="I600" s="117" t="e">
        <f>NA()</f>
        <v>#N/A</v>
      </c>
      <c r="J600" s="117" t="e">
        <f>NA()</f>
        <v>#N/A</v>
      </c>
      <c r="L600" s="117" t="e">
        <f>H600-(I600+J600)</f>
        <v>#N/A</v>
      </c>
      <c r="M600" s="72" t="e">
        <f t="shared" si="13"/>
        <v>#N/A</v>
      </c>
      <c r="O600" s="117"/>
    </row>
    <row r="601" spans="1:15">
      <c r="A601" s="73" t="s">
        <v>212</v>
      </c>
      <c r="B601" s="175"/>
      <c r="C601" s="116" t="s">
        <v>213</v>
      </c>
      <c r="D601" s="117">
        <f>4.5</f>
        <v>4.5</v>
      </c>
      <c r="E601" s="118">
        <f>2</f>
        <v>2</v>
      </c>
      <c r="F601" s="72">
        <v>9</v>
      </c>
      <c r="G601" s="31">
        <v>13</v>
      </c>
      <c r="H601" s="117" t="e">
        <f>NA()</f>
        <v>#N/A</v>
      </c>
      <c r="I601" s="117" t="e">
        <f>NA()</f>
        <v>#N/A</v>
      </c>
      <c r="J601" s="117" t="e">
        <f>NA()</f>
        <v>#N/A</v>
      </c>
      <c r="L601" s="117" t="e">
        <f>H601-(I601+J601)</f>
        <v>#N/A</v>
      </c>
      <c r="M601" s="72" t="e">
        <f t="shared" si="13"/>
        <v>#N/A</v>
      </c>
      <c r="O601" s="117"/>
    </row>
    <row r="602" spans="1:15">
      <c r="A602" s="73" t="s">
        <v>214</v>
      </c>
      <c r="B602" s="175"/>
      <c r="C602" s="116" t="s">
        <v>215</v>
      </c>
      <c r="D602" s="117">
        <f>4.5</f>
        <v>4.5</v>
      </c>
      <c r="E602" s="118">
        <f>2</f>
        <v>2</v>
      </c>
      <c r="F602" s="72">
        <v>9</v>
      </c>
      <c r="G602" s="31">
        <v>13</v>
      </c>
      <c r="H602" s="117" t="e">
        <f>NA()</f>
        <v>#N/A</v>
      </c>
      <c r="I602" s="117" t="e">
        <f>NA()</f>
        <v>#N/A</v>
      </c>
      <c r="J602" s="117"/>
      <c r="L602" s="117" t="e">
        <f>H602-(I602+J602)</f>
        <v>#N/A</v>
      </c>
      <c r="M602" s="72" t="e">
        <f t="shared" si="13"/>
        <v>#N/A</v>
      </c>
      <c r="O602" s="117"/>
    </row>
    <row r="603" spans="1:15">
      <c r="A603" s="73" t="s">
        <v>216</v>
      </c>
      <c r="B603" s="175"/>
      <c r="C603" s="28" t="s">
        <v>217</v>
      </c>
      <c r="D603" s="123">
        <f>2.775</f>
        <v>2.7749999999999999</v>
      </c>
      <c r="E603" s="73">
        <f>2</f>
        <v>2</v>
      </c>
      <c r="F603" s="72">
        <v>5.55</v>
      </c>
      <c r="G603" s="31">
        <v>9.5500000000000007</v>
      </c>
      <c r="H603" s="31" t="e">
        <f>NA()</f>
        <v>#N/A</v>
      </c>
      <c r="J603" s="31" t="e">
        <f>NA()</f>
        <v>#N/A</v>
      </c>
      <c r="K603" s="114" t="e">
        <f>H603-(I603+J603)</f>
        <v>#N/A</v>
      </c>
      <c r="L603" s="72"/>
      <c r="M603" s="72" t="e">
        <f t="shared" si="13"/>
        <v>#N/A</v>
      </c>
      <c r="O603" s="72"/>
    </row>
    <row r="604" spans="1:15">
      <c r="A604" s="73" t="s">
        <v>218</v>
      </c>
      <c r="B604" s="175"/>
      <c r="C604" s="28" t="s">
        <v>219</v>
      </c>
      <c r="D604" s="31">
        <f>3.2</f>
        <v>3.2</v>
      </c>
      <c r="E604" s="73">
        <f>2</f>
        <v>2</v>
      </c>
      <c r="F604" s="72">
        <v>6</v>
      </c>
      <c r="G604" s="31">
        <v>10.4</v>
      </c>
      <c r="H604" s="31" t="e">
        <f>NA()</f>
        <v>#N/A</v>
      </c>
      <c r="I604" s="31" t="e">
        <f>NA()</f>
        <v>#N/A</v>
      </c>
      <c r="J604" s="31" t="e">
        <f>NA()</f>
        <v>#N/A</v>
      </c>
      <c r="K604" s="114" t="e">
        <f>H604-(I604+J604)</f>
        <v>#N/A</v>
      </c>
      <c r="L604" s="72"/>
      <c r="M604" s="72" t="e">
        <f t="shared" si="13"/>
        <v>#N/A</v>
      </c>
      <c r="O604" s="72"/>
    </row>
    <row r="605" spans="1:15">
      <c r="A605" s="73" t="s">
        <v>220</v>
      </c>
      <c r="C605" s="116" t="s">
        <v>180</v>
      </c>
      <c r="D605" s="117">
        <f>1.7</f>
        <v>1.7</v>
      </c>
      <c r="E605" s="118">
        <f>1.2</f>
        <v>1.2</v>
      </c>
      <c r="F605" s="72">
        <v>2</v>
      </c>
      <c r="G605" s="31">
        <v>5.8</v>
      </c>
      <c r="H605" s="117" t="e">
        <f>NA()</f>
        <v>#N/A</v>
      </c>
      <c r="I605" s="117" t="e">
        <f>NA()</f>
        <v>#N/A</v>
      </c>
      <c r="J605" s="117" t="e">
        <f>NA()</f>
        <v>#N/A</v>
      </c>
      <c r="L605" s="117" t="e">
        <f>H605-(I605+J605)</f>
        <v>#N/A</v>
      </c>
      <c r="M605" s="72" t="e">
        <f t="shared" si="13"/>
        <v>#N/A</v>
      </c>
      <c r="O605" s="117"/>
    </row>
    <row r="606" spans="1:15">
      <c r="A606" s="73" t="s">
        <v>221</v>
      </c>
      <c r="B606" s="175"/>
      <c r="C606" s="116" t="s">
        <v>132</v>
      </c>
      <c r="D606" s="117">
        <f>1.45</f>
        <v>1.45</v>
      </c>
      <c r="E606" s="118">
        <f>0.9</f>
        <v>0.9</v>
      </c>
      <c r="F606" s="72">
        <v>1.3</v>
      </c>
      <c r="G606" s="31">
        <v>4.7</v>
      </c>
      <c r="H606" s="117" t="e">
        <f>NA()</f>
        <v>#N/A</v>
      </c>
      <c r="I606" s="29"/>
      <c r="J606" s="117"/>
      <c r="L606" s="117" t="e">
        <f>H606-(I606+J606)</f>
        <v>#N/A</v>
      </c>
      <c r="M606" s="72" t="e">
        <f t="shared" si="13"/>
        <v>#N/A</v>
      </c>
      <c r="O606" s="117"/>
    </row>
    <row r="607" spans="1:15">
      <c r="A607" s="73" t="s">
        <v>222</v>
      </c>
      <c r="B607" s="175"/>
      <c r="C607" s="28" t="s">
        <v>126</v>
      </c>
      <c r="D607" s="31">
        <f>F607/E607</f>
        <v>8.4057971014492754</v>
      </c>
      <c r="E607" s="124">
        <f>1.725</f>
        <v>1.7250000000000001</v>
      </c>
      <c r="F607" s="72">
        <v>14.5</v>
      </c>
      <c r="G607" s="31">
        <v>20.26159420289855</v>
      </c>
      <c r="H607" s="31" t="e">
        <f>NA()</f>
        <v>#N/A</v>
      </c>
      <c r="J607" s="31" t="e">
        <f>NA()</f>
        <v>#N/A</v>
      </c>
      <c r="K607" s="114" t="e">
        <f>H607-(I607+J607)</f>
        <v>#N/A</v>
      </c>
      <c r="L607" s="72"/>
      <c r="M607" s="72" t="e">
        <f t="shared" si="13"/>
        <v>#N/A</v>
      </c>
      <c r="O607" s="72"/>
    </row>
    <row r="608" spans="1:15">
      <c r="A608" s="73" t="s">
        <v>223</v>
      </c>
      <c r="B608" s="175"/>
      <c r="C608" s="28" t="s">
        <v>118</v>
      </c>
      <c r="D608" s="31">
        <f>2</f>
        <v>2</v>
      </c>
      <c r="E608" s="73">
        <f>1.55</f>
        <v>1.55</v>
      </c>
      <c r="F608" s="72">
        <v>3.45</v>
      </c>
      <c r="G608" s="31">
        <v>7.1</v>
      </c>
      <c r="H608" s="31" t="e">
        <f>NA()</f>
        <v>#N/A</v>
      </c>
      <c r="I608" s="29" t="e">
        <f>NA()</f>
        <v>#N/A</v>
      </c>
      <c r="J608" s="31" t="e">
        <f>NA()</f>
        <v>#N/A</v>
      </c>
      <c r="K608" s="114" t="e">
        <f>H608-(I608+J608+L608)</f>
        <v>#N/A</v>
      </c>
      <c r="L608" s="117" t="e">
        <f>(D608+E608)*#REF!</f>
        <v>#REF!</v>
      </c>
      <c r="M608" s="72" t="e">
        <f t="shared" si="13"/>
        <v>#N/A</v>
      </c>
      <c r="O608" s="117"/>
    </row>
    <row r="609" spans="1:15">
      <c r="A609" s="73"/>
      <c r="B609" s="175"/>
      <c r="C609" s="28"/>
      <c r="D609" s="31"/>
      <c r="E609" s="73"/>
      <c r="F609" s="72"/>
      <c r="G609" s="31"/>
      <c r="I609" s="29"/>
      <c r="J609" s="31"/>
      <c r="K609" s="114"/>
      <c r="L609" s="117"/>
      <c r="M609" s="72"/>
      <c r="O609" s="117"/>
    </row>
    <row r="610" spans="1:15">
      <c r="A610" s="73"/>
      <c r="B610" s="175"/>
      <c r="C610" s="28"/>
      <c r="D610" s="31"/>
      <c r="E610" s="73"/>
      <c r="F610" s="72"/>
      <c r="G610" s="31"/>
      <c r="I610" s="29"/>
      <c r="J610" s="31"/>
      <c r="K610" s="114"/>
      <c r="L610" s="117"/>
      <c r="M610" s="72"/>
      <c r="O610" s="117"/>
    </row>
    <row r="611" spans="1:15">
      <c r="A611" s="73"/>
      <c r="B611" s="175"/>
      <c r="C611" s="28"/>
      <c r="D611" s="31"/>
      <c r="E611" s="73"/>
      <c r="F611" s="72"/>
      <c r="G611" s="31"/>
      <c r="I611" s="29"/>
      <c r="J611" s="31"/>
      <c r="K611" s="114"/>
      <c r="L611" s="117"/>
      <c r="M611" s="72"/>
      <c r="O611" s="117"/>
    </row>
    <row r="612" spans="1:15">
      <c r="A612" s="73"/>
      <c r="B612" s="175"/>
      <c r="C612" s="28"/>
      <c r="D612" s="31"/>
      <c r="E612" s="73"/>
      <c r="F612" s="72"/>
      <c r="G612" s="31"/>
      <c r="I612" s="29"/>
      <c r="J612" s="31"/>
      <c r="K612" s="114"/>
      <c r="L612" s="117"/>
      <c r="M612" s="72"/>
      <c r="O612" s="117"/>
    </row>
    <row r="613" spans="1:15">
      <c r="A613" s="73"/>
      <c r="C613" s="28"/>
      <c r="D613" s="31"/>
      <c r="E613" s="73"/>
      <c r="F613" s="72"/>
      <c r="G613" s="31"/>
      <c r="I613" s="29"/>
      <c r="J613" s="31"/>
      <c r="K613" s="114"/>
      <c r="L613" s="117"/>
      <c r="M613" s="72"/>
      <c r="O613" s="117"/>
    </row>
    <row r="614" spans="1:15">
      <c r="A614" s="73"/>
      <c r="C614" s="28"/>
      <c r="D614" s="31"/>
      <c r="E614" s="73"/>
      <c r="F614" s="72"/>
      <c r="G614" s="31"/>
      <c r="I614" s="29"/>
      <c r="J614" s="31"/>
      <c r="K614" s="114"/>
      <c r="L614" s="117"/>
      <c r="M614" s="72"/>
      <c r="O614" s="117"/>
    </row>
    <row r="615" spans="1:15">
      <c r="A615" s="73"/>
      <c r="C615" s="28"/>
      <c r="D615" s="31"/>
      <c r="E615" s="73"/>
      <c r="F615" s="72"/>
      <c r="I615" s="29"/>
      <c r="J615" s="31"/>
      <c r="K615" s="114"/>
      <c r="L615" s="117"/>
      <c r="M615" s="72"/>
      <c r="O615" s="117"/>
    </row>
    <row r="616" spans="1:15">
      <c r="A616" s="73"/>
      <c r="C616" s="28"/>
      <c r="D616" s="31"/>
      <c r="E616" s="73"/>
      <c r="F616" s="72"/>
      <c r="G616" s="31"/>
      <c r="I616" s="29"/>
      <c r="J616" s="31"/>
      <c r="K616" s="114"/>
      <c r="L616" s="117"/>
      <c r="M616" s="72"/>
      <c r="O616" s="117"/>
    </row>
    <row r="617" spans="1:15">
      <c r="A617" s="29"/>
      <c r="C617" s="107" t="s">
        <v>224</v>
      </c>
      <c r="D617" s="117"/>
      <c r="E617" s="118"/>
      <c r="F617" s="72"/>
      <c r="G617" s="31"/>
      <c r="H617" s="117"/>
      <c r="I617" s="29"/>
      <c r="J617" s="117"/>
      <c r="L617" s="117"/>
      <c r="M617" s="72">
        <f t="shared" ref="M617:M647" si="14">H617-(I617+J617+K617+L617)</f>
        <v>0</v>
      </c>
      <c r="O617" s="117"/>
    </row>
    <row r="618" spans="1:15">
      <c r="A618" s="28" t="s">
        <v>225</v>
      </c>
      <c r="C618" s="28" t="s">
        <v>226</v>
      </c>
      <c r="D618" s="31">
        <f>6.2</f>
        <v>6.2</v>
      </c>
      <c r="E618" s="73">
        <f>4.5</f>
        <v>4.5</v>
      </c>
      <c r="F618" s="72">
        <v>28.4</v>
      </c>
      <c r="G618" s="31">
        <v>21.4</v>
      </c>
      <c r="H618" s="31" t="e">
        <f>NA()</f>
        <v>#N/A</v>
      </c>
      <c r="I618" s="31" t="e">
        <f>NA()</f>
        <v>#N/A</v>
      </c>
      <c r="J618" s="31" t="e">
        <f>NA()</f>
        <v>#N/A</v>
      </c>
      <c r="K618" s="114" t="e">
        <f>H618-(I618+J618)</f>
        <v>#N/A</v>
      </c>
      <c r="L618" s="72"/>
      <c r="M618" s="72" t="e">
        <f t="shared" si="14"/>
        <v>#N/A</v>
      </c>
      <c r="O618" s="72"/>
    </row>
    <row r="619" spans="1:15">
      <c r="A619" s="28" t="s">
        <v>227</v>
      </c>
      <c r="C619" s="28" t="s">
        <v>228</v>
      </c>
      <c r="D619" s="73">
        <f>4.5</f>
        <v>4.5</v>
      </c>
      <c r="E619" s="73">
        <f>2.7</f>
        <v>2.7</v>
      </c>
      <c r="F619" s="72">
        <v>12.15</v>
      </c>
      <c r="G619" s="31">
        <v>14.4</v>
      </c>
      <c r="H619" s="31" t="e">
        <f>NA()</f>
        <v>#N/A</v>
      </c>
      <c r="I619" s="31" t="e">
        <f>NA()</f>
        <v>#N/A</v>
      </c>
      <c r="J619" s="31" t="e">
        <f>NA()</f>
        <v>#N/A</v>
      </c>
      <c r="K619" s="114" t="e">
        <f>H619-(I619+J619)</f>
        <v>#N/A</v>
      </c>
      <c r="L619" s="72"/>
      <c r="M619" s="72" t="e">
        <f t="shared" si="14"/>
        <v>#N/A</v>
      </c>
      <c r="O619" s="72"/>
    </row>
    <row r="620" spans="1:15">
      <c r="A620" s="28" t="s">
        <v>229</v>
      </c>
      <c r="C620" s="28" t="s">
        <v>230</v>
      </c>
      <c r="D620" s="31">
        <f>4</f>
        <v>4</v>
      </c>
      <c r="E620" s="73">
        <f>1.4</f>
        <v>1.4</v>
      </c>
      <c r="F620" s="72">
        <v>5.55</v>
      </c>
      <c r="G620" s="31">
        <v>10.8</v>
      </c>
      <c r="H620" s="31" t="e">
        <f>NA()</f>
        <v>#N/A</v>
      </c>
      <c r="J620" s="31" t="e">
        <f>NA()</f>
        <v>#N/A</v>
      </c>
      <c r="K620" s="114" t="e">
        <f>H620-(I620+J620)</f>
        <v>#N/A</v>
      </c>
      <c r="M620" s="72" t="e">
        <f t="shared" si="14"/>
        <v>#N/A</v>
      </c>
    </row>
    <row r="621" spans="1:15">
      <c r="A621" s="28" t="s">
        <v>231</v>
      </c>
      <c r="C621" s="116" t="s">
        <v>180</v>
      </c>
      <c r="D621" s="117">
        <f>1.8</f>
        <v>1.8</v>
      </c>
      <c r="E621" s="118">
        <f>1.4</f>
        <v>1.4</v>
      </c>
      <c r="F621" s="72">
        <v>2.5</v>
      </c>
      <c r="G621" s="31">
        <v>6.4</v>
      </c>
      <c r="H621" s="117" t="e">
        <f>NA()</f>
        <v>#N/A</v>
      </c>
      <c r="I621" s="29"/>
      <c r="J621" s="117" t="e">
        <f>NA()</f>
        <v>#N/A</v>
      </c>
      <c r="L621" s="117" t="e">
        <f>H621-(I621+J621)</f>
        <v>#N/A</v>
      </c>
      <c r="M621" s="72" t="e">
        <f t="shared" si="14"/>
        <v>#N/A</v>
      </c>
      <c r="O621" s="117"/>
    </row>
    <row r="622" spans="1:15">
      <c r="A622" s="28" t="s">
        <v>232</v>
      </c>
      <c r="C622" s="116" t="s">
        <v>132</v>
      </c>
      <c r="D622" s="117">
        <f>1.65</f>
        <v>1.65</v>
      </c>
      <c r="E622" s="118">
        <f>1.4</f>
        <v>1.4</v>
      </c>
      <c r="F622" s="72">
        <v>2.2999999999999998</v>
      </c>
      <c r="G622" s="31">
        <v>6.1</v>
      </c>
      <c r="H622" s="117" t="e">
        <f>NA()</f>
        <v>#N/A</v>
      </c>
      <c r="I622" s="29"/>
      <c r="J622" s="117" t="e">
        <f>NA()</f>
        <v>#N/A</v>
      </c>
      <c r="L622" s="117" t="e">
        <f>H622-(I622+J622)</f>
        <v>#N/A</v>
      </c>
      <c r="M622" s="72" t="e">
        <f t="shared" si="14"/>
        <v>#N/A</v>
      </c>
      <c r="O622" s="117"/>
    </row>
    <row r="623" spans="1:15">
      <c r="A623" s="28" t="s">
        <v>233</v>
      </c>
      <c r="C623" s="116" t="s">
        <v>234</v>
      </c>
      <c r="D623" s="117">
        <f>6.2</f>
        <v>6.2</v>
      </c>
      <c r="E623" s="118">
        <f>4.5</f>
        <v>4.5</v>
      </c>
      <c r="F623" s="72">
        <v>23.95</v>
      </c>
      <c r="G623" s="31">
        <v>21.4</v>
      </c>
      <c r="H623" s="117" t="e">
        <f>NA()</f>
        <v>#N/A</v>
      </c>
      <c r="I623" s="117" t="e">
        <f>NA()</f>
        <v>#N/A</v>
      </c>
      <c r="J623" s="117" t="e">
        <f>NA()</f>
        <v>#N/A</v>
      </c>
      <c r="L623" s="117" t="e">
        <f>H623-(I623+J623)</f>
        <v>#N/A</v>
      </c>
      <c r="M623" s="72" t="e">
        <f t="shared" si="14"/>
        <v>#N/A</v>
      </c>
      <c r="O623" s="117"/>
    </row>
    <row r="624" spans="1:15">
      <c r="A624" s="28" t="s">
        <v>235</v>
      </c>
      <c r="B624" s="175"/>
      <c r="C624" s="116" t="s">
        <v>236</v>
      </c>
      <c r="D624" s="117">
        <f>2.2</f>
        <v>2.2000000000000002</v>
      </c>
      <c r="E624" s="118">
        <f>1.9</f>
        <v>1.9</v>
      </c>
      <c r="F624" s="72">
        <v>4.2</v>
      </c>
      <c r="G624" s="31">
        <v>8.1999999999999993</v>
      </c>
      <c r="H624" s="117" t="e">
        <f>NA()</f>
        <v>#N/A</v>
      </c>
      <c r="I624" s="29"/>
      <c r="J624" s="117" t="e">
        <f>NA()</f>
        <v>#N/A</v>
      </c>
      <c r="L624" s="117" t="e">
        <f>H624-(I624+J624)</f>
        <v>#N/A</v>
      </c>
      <c r="M624" s="72" t="e">
        <f t="shared" si="14"/>
        <v>#N/A</v>
      </c>
      <c r="O624" s="117"/>
    </row>
    <row r="625" spans="1:15">
      <c r="A625" s="28" t="s">
        <v>237</v>
      </c>
      <c r="C625" s="28" t="s">
        <v>238</v>
      </c>
      <c r="D625" s="31">
        <f>6.2</f>
        <v>6.2</v>
      </c>
      <c r="E625" s="124">
        <f>2.875</f>
        <v>2.875</v>
      </c>
      <c r="F625" s="72">
        <v>13.2</v>
      </c>
      <c r="G625" s="31">
        <v>18.149999999999999</v>
      </c>
      <c r="H625" s="31" t="e">
        <f>NA()</f>
        <v>#N/A</v>
      </c>
      <c r="I625" s="31" t="e">
        <f>NA()</f>
        <v>#N/A</v>
      </c>
      <c r="J625" s="31" t="e">
        <f>NA()</f>
        <v>#N/A</v>
      </c>
      <c r="K625" s="114"/>
      <c r="M625" s="72" t="e">
        <f t="shared" si="14"/>
        <v>#N/A</v>
      </c>
    </row>
    <row r="626" spans="1:15">
      <c r="A626" s="28" t="s">
        <v>239</v>
      </c>
      <c r="C626" s="116" t="s">
        <v>180</v>
      </c>
      <c r="D626" s="117">
        <f>1.7</f>
        <v>1.7</v>
      </c>
      <c r="E626" s="118">
        <f>1.4</f>
        <v>1.4</v>
      </c>
      <c r="F626" s="72">
        <v>2.4</v>
      </c>
      <c r="G626" s="31">
        <v>6.2</v>
      </c>
      <c r="H626" s="117" t="e">
        <f>NA()</f>
        <v>#N/A</v>
      </c>
      <c r="I626" s="29"/>
      <c r="J626" s="117" t="e">
        <f>NA()</f>
        <v>#N/A</v>
      </c>
      <c r="L626" s="117" t="e">
        <f>H626-(I626+J626)</f>
        <v>#N/A</v>
      </c>
      <c r="M626" s="72" t="e">
        <f t="shared" si="14"/>
        <v>#N/A</v>
      </c>
      <c r="O626" s="117"/>
    </row>
    <row r="627" spans="1:15">
      <c r="A627" s="28" t="s">
        <v>240</v>
      </c>
      <c r="C627" s="116" t="s">
        <v>132</v>
      </c>
      <c r="D627" s="117">
        <f>1.45</f>
        <v>1.45</v>
      </c>
      <c r="E627" s="118">
        <f>1.4</f>
        <v>1.4</v>
      </c>
      <c r="F627" s="72">
        <v>2</v>
      </c>
      <c r="G627" s="31">
        <v>5.7</v>
      </c>
      <c r="H627" s="117" t="e">
        <f>NA()</f>
        <v>#N/A</v>
      </c>
      <c r="I627" s="29"/>
      <c r="J627" s="117" t="e">
        <f>NA()</f>
        <v>#N/A</v>
      </c>
      <c r="L627" s="117" t="e">
        <f>H627-(I627+J627)</f>
        <v>#N/A</v>
      </c>
      <c r="M627" s="72" t="e">
        <f t="shared" si="14"/>
        <v>#N/A</v>
      </c>
      <c r="O627" s="117"/>
    </row>
    <row r="628" spans="1:15">
      <c r="A628" s="28" t="s">
        <v>241</v>
      </c>
      <c r="C628" s="28" t="s">
        <v>165</v>
      </c>
      <c r="D628" s="123">
        <f>2.775</f>
        <v>2.7749999999999999</v>
      </c>
      <c r="E628" s="73">
        <f>0.85</f>
        <v>0.85</v>
      </c>
      <c r="F628" s="72">
        <v>2.35</v>
      </c>
      <c r="G628" s="31">
        <v>7.25</v>
      </c>
      <c r="H628" s="31" t="e">
        <f>NA()</f>
        <v>#N/A</v>
      </c>
      <c r="J628" s="31" t="e">
        <f>NA()</f>
        <v>#N/A</v>
      </c>
      <c r="K628" s="114" t="e">
        <f>H628-(I628+J628)</f>
        <v>#N/A</v>
      </c>
      <c r="L628" s="115"/>
      <c r="M628" s="72" t="e">
        <f t="shared" si="14"/>
        <v>#N/A</v>
      </c>
      <c r="O628" s="72"/>
    </row>
    <row r="629" spans="1:15">
      <c r="A629" s="28" t="s">
        <v>242</v>
      </c>
      <c r="C629" s="28" t="s">
        <v>243</v>
      </c>
      <c r="D629" s="31">
        <f>3.05</f>
        <v>3.05</v>
      </c>
      <c r="E629" s="73">
        <f>3</f>
        <v>3</v>
      </c>
      <c r="F629" s="72">
        <v>9.1</v>
      </c>
      <c r="G629" s="31">
        <v>12.1</v>
      </c>
      <c r="H629" s="31" t="e">
        <f>NA()</f>
        <v>#N/A</v>
      </c>
      <c r="J629" s="31" t="e">
        <f>NA()</f>
        <v>#N/A</v>
      </c>
      <c r="K629" s="114" t="e">
        <f>H629-(I629+J629)</f>
        <v>#N/A</v>
      </c>
      <c r="L629" s="115"/>
      <c r="M629" s="72" t="e">
        <f t="shared" si="14"/>
        <v>#N/A</v>
      </c>
    </row>
    <row r="630" spans="1:15">
      <c r="A630" s="29"/>
      <c r="D630" s="29"/>
      <c r="E630" s="29"/>
      <c r="H630" s="29"/>
      <c r="I630" s="29"/>
      <c r="M630" s="72">
        <f t="shared" si="14"/>
        <v>0</v>
      </c>
    </row>
    <row r="631" spans="1:15">
      <c r="A631" s="29"/>
      <c r="D631" s="29"/>
      <c r="E631" s="29"/>
      <c r="H631" s="29"/>
      <c r="I631" s="29"/>
      <c r="M631" s="72">
        <f t="shared" si="14"/>
        <v>0</v>
      </c>
    </row>
    <row r="632" spans="1:15">
      <c r="A632" s="29"/>
      <c r="D632" s="29"/>
      <c r="E632" s="29"/>
      <c r="H632" s="29"/>
      <c r="I632" s="29"/>
      <c r="M632" s="72">
        <f t="shared" si="14"/>
        <v>0</v>
      </c>
    </row>
    <row r="633" spans="1:15">
      <c r="A633" s="29"/>
      <c r="D633" s="29"/>
      <c r="E633" s="29"/>
      <c r="H633" s="29"/>
      <c r="I633" s="29"/>
      <c r="M633" s="72">
        <f t="shared" si="14"/>
        <v>0</v>
      </c>
    </row>
    <row r="634" spans="1:15">
      <c r="A634" s="29"/>
      <c r="D634" s="29"/>
      <c r="E634" s="29"/>
      <c r="H634" s="29"/>
      <c r="I634" s="29"/>
      <c r="M634" s="72">
        <f t="shared" si="14"/>
        <v>0</v>
      </c>
    </row>
    <row r="635" spans="1:15">
      <c r="A635" s="29"/>
      <c r="B635" s="175"/>
      <c r="D635" s="29"/>
      <c r="H635" s="29"/>
      <c r="I635" s="29"/>
      <c r="M635" s="72">
        <f t="shared" si="14"/>
        <v>0</v>
      </c>
    </row>
    <row r="636" spans="1:15">
      <c r="A636" s="29"/>
      <c r="D636" s="29"/>
      <c r="E636" s="29"/>
      <c r="H636" s="29"/>
      <c r="I636" s="29"/>
      <c r="M636" s="72">
        <f t="shared" si="14"/>
        <v>0</v>
      </c>
    </row>
    <row r="637" spans="1:15">
      <c r="A637" s="29"/>
      <c r="C637" s="107" t="s">
        <v>244</v>
      </c>
      <c r="G637" s="31"/>
      <c r="I637" s="29"/>
      <c r="M637" s="72">
        <f t="shared" si="14"/>
        <v>0</v>
      </c>
    </row>
    <row r="638" spans="1:15">
      <c r="A638" s="29">
        <f>1</f>
        <v>1</v>
      </c>
      <c r="C638" s="28" t="s">
        <v>245</v>
      </c>
      <c r="D638" s="31">
        <f>6</f>
        <v>6</v>
      </c>
      <c r="E638" s="73">
        <f>3.6</f>
        <v>3.6</v>
      </c>
      <c r="F638" s="72">
        <v>21.6</v>
      </c>
      <c r="G638" s="31">
        <v>19.2</v>
      </c>
      <c r="H638" s="31" t="e">
        <f>NA()</f>
        <v>#N/A</v>
      </c>
      <c r="I638" s="31" t="e">
        <f>NA()</f>
        <v>#N/A</v>
      </c>
      <c r="J638" s="31" t="e">
        <f>NA()</f>
        <v>#N/A</v>
      </c>
      <c r="L638" s="115"/>
      <c r="M638" s="72" t="e">
        <f t="shared" si="14"/>
        <v>#N/A</v>
      </c>
      <c r="O638" s="117"/>
    </row>
    <row r="639" spans="1:15">
      <c r="A639" s="29">
        <f t="shared" ref="A639:A645" si="15">1+A638</f>
        <v>2</v>
      </c>
      <c r="B639" s="175"/>
      <c r="C639" s="28" t="s">
        <v>118</v>
      </c>
      <c r="D639" s="31">
        <f>4.2</f>
        <v>4.2</v>
      </c>
      <c r="E639" s="73">
        <f>1.8</f>
        <v>1.8</v>
      </c>
      <c r="F639" s="72">
        <v>7.6</v>
      </c>
      <c r="G639" s="31">
        <v>12</v>
      </c>
      <c r="H639" s="31" t="e">
        <f>NA()</f>
        <v>#N/A</v>
      </c>
      <c r="I639" s="31" t="e">
        <f>NA()</f>
        <v>#N/A</v>
      </c>
      <c r="J639" s="31" t="e">
        <f>NA()</f>
        <v>#N/A</v>
      </c>
      <c r="K639" s="114" t="e">
        <f>H639-(I639+J639)</f>
        <v>#N/A</v>
      </c>
      <c r="L639" s="115"/>
      <c r="M639" s="72" t="e">
        <f t="shared" si="14"/>
        <v>#N/A</v>
      </c>
      <c r="O639" s="117"/>
    </row>
    <row r="640" spans="1:15">
      <c r="A640" s="29">
        <f t="shared" si="15"/>
        <v>3</v>
      </c>
      <c r="C640" s="116" t="s">
        <v>246</v>
      </c>
      <c r="D640" s="117">
        <f>5.9</f>
        <v>5.9</v>
      </c>
      <c r="E640" s="118">
        <f>3</f>
        <v>3</v>
      </c>
      <c r="F640" s="72">
        <v>17.899999999999999</v>
      </c>
      <c r="G640" s="31">
        <v>17.8</v>
      </c>
      <c r="H640" s="117" t="e">
        <f>NA()</f>
        <v>#N/A</v>
      </c>
      <c r="I640" s="117" t="e">
        <f>NA()</f>
        <v>#N/A</v>
      </c>
      <c r="J640" s="117" t="e">
        <f>NA()</f>
        <v>#N/A</v>
      </c>
      <c r="L640" s="117" t="e">
        <f>H640-(I640+J640)</f>
        <v>#N/A</v>
      </c>
      <c r="M640" s="72" t="e">
        <f t="shared" si="14"/>
        <v>#N/A</v>
      </c>
      <c r="O640" s="117"/>
    </row>
    <row r="641" spans="1:16">
      <c r="A641" s="29">
        <f t="shared" si="15"/>
        <v>4</v>
      </c>
      <c r="C641" s="116" t="s">
        <v>246</v>
      </c>
      <c r="D641" s="117">
        <f>4.2</f>
        <v>4.2</v>
      </c>
      <c r="E641" s="118">
        <f>4</f>
        <v>4</v>
      </c>
      <c r="F641" s="72">
        <v>16.3</v>
      </c>
      <c r="G641" s="31">
        <v>16.399999999999999</v>
      </c>
      <c r="H641" s="117" t="e">
        <f>NA()</f>
        <v>#N/A</v>
      </c>
      <c r="I641" s="117" t="e">
        <f>NA()</f>
        <v>#N/A</v>
      </c>
      <c r="J641" s="117"/>
      <c r="L641" s="117" t="e">
        <f>H641-(I641+J641)</f>
        <v>#N/A</v>
      </c>
      <c r="M641" s="72" t="e">
        <f t="shared" si="14"/>
        <v>#N/A</v>
      </c>
      <c r="O641" s="117"/>
    </row>
    <row r="642" spans="1:16">
      <c r="A642" s="29">
        <f t="shared" si="15"/>
        <v>5</v>
      </c>
      <c r="C642" s="28" t="s">
        <v>247</v>
      </c>
      <c r="D642" s="31">
        <f>4</f>
        <v>4</v>
      </c>
      <c r="E642" s="31">
        <f>3.65</f>
        <v>3.65</v>
      </c>
      <c r="F642" s="72">
        <v>14.6</v>
      </c>
      <c r="G642" s="31">
        <v>15.3</v>
      </c>
      <c r="H642" s="31" t="e">
        <f>NA()</f>
        <v>#N/A</v>
      </c>
      <c r="I642" s="31" t="e">
        <f>NA()</f>
        <v>#N/A</v>
      </c>
      <c r="J642" s="117"/>
      <c r="K642" s="114" t="e">
        <f>H642-(I642+J642)</f>
        <v>#N/A</v>
      </c>
      <c r="L642" s="115"/>
      <c r="M642" s="72" t="e">
        <f t="shared" si="14"/>
        <v>#N/A</v>
      </c>
      <c r="O642" s="117"/>
    </row>
    <row r="643" spans="1:16">
      <c r="A643" s="29">
        <f t="shared" si="15"/>
        <v>6</v>
      </c>
      <c r="C643" s="28" t="s">
        <v>248</v>
      </c>
      <c r="D643" s="31">
        <f>4</f>
        <v>4</v>
      </c>
      <c r="E643" s="124">
        <f>2.475</f>
        <v>2.4750000000000001</v>
      </c>
      <c r="F643" s="72">
        <v>9.9</v>
      </c>
      <c r="G643" s="31">
        <v>12.95</v>
      </c>
      <c r="H643" s="31" t="e">
        <f>NA()</f>
        <v>#N/A</v>
      </c>
      <c r="I643" s="31" t="e">
        <f>NA()</f>
        <v>#N/A</v>
      </c>
      <c r="J643" s="109"/>
      <c r="K643" s="114" t="e">
        <f>H643-(I643+J643)</f>
        <v>#N/A</v>
      </c>
      <c r="L643" s="115"/>
      <c r="M643" s="72" t="e">
        <f t="shared" si="14"/>
        <v>#N/A</v>
      </c>
      <c r="O643" s="72"/>
    </row>
    <row r="644" spans="1:16">
      <c r="A644" s="29">
        <f t="shared" si="15"/>
        <v>7</v>
      </c>
      <c r="C644" s="116" t="s">
        <v>249</v>
      </c>
      <c r="D644" s="117">
        <f>6.1</f>
        <v>6.1</v>
      </c>
      <c r="E644" s="118">
        <f>4</f>
        <v>4</v>
      </c>
      <c r="F644" s="72">
        <v>24</v>
      </c>
      <c r="G644" s="31">
        <v>20.2</v>
      </c>
      <c r="H644" s="117" t="e">
        <f>NA()</f>
        <v>#N/A</v>
      </c>
      <c r="I644" s="117" t="e">
        <f>NA()</f>
        <v>#N/A</v>
      </c>
      <c r="J644" s="117" t="e">
        <f>NA()</f>
        <v>#N/A</v>
      </c>
      <c r="L644" s="117" t="e">
        <f>H644-(I644+J644)</f>
        <v>#N/A</v>
      </c>
      <c r="M644" s="72" t="e">
        <f t="shared" si="14"/>
        <v>#N/A</v>
      </c>
      <c r="O644" s="117"/>
    </row>
    <row r="645" spans="1:16">
      <c r="A645" s="29">
        <f t="shared" si="15"/>
        <v>8</v>
      </c>
      <c r="C645" s="116" t="s">
        <v>250</v>
      </c>
      <c r="D645" s="117">
        <f>6.1</f>
        <v>6.1</v>
      </c>
      <c r="E645" s="122">
        <f>3.075</f>
        <v>3.0750000000000002</v>
      </c>
      <c r="F645" s="72">
        <v>18.45</v>
      </c>
      <c r="G645" s="31">
        <v>18.350000000000001</v>
      </c>
      <c r="H645" s="117" t="e">
        <f>NA()</f>
        <v>#N/A</v>
      </c>
      <c r="I645" s="117" t="e">
        <f>NA()</f>
        <v>#N/A</v>
      </c>
      <c r="J645" s="117" t="e">
        <f>NA()</f>
        <v>#N/A</v>
      </c>
      <c r="L645" s="117" t="e">
        <f>H645-(I645+J645)</f>
        <v>#N/A</v>
      </c>
      <c r="M645" s="72" t="e">
        <f t="shared" si="14"/>
        <v>#N/A</v>
      </c>
      <c r="O645" s="117"/>
    </row>
    <row r="646" spans="1:16">
      <c r="G646" s="31"/>
      <c r="I646" s="29"/>
      <c r="M646" s="72">
        <f t="shared" si="14"/>
        <v>0</v>
      </c>
    </row>
    <row r="647" spans="1:16">
      <c r="A647" s="31">
        <f>2*(D647+E647)+(D648*2+E648)+2*(D649+E649)</f>
        <v>286.7</v>
      </c>
      <c r="C647" s="28" t="e">
        <f>#REF!</f>
        <v>#REF!</v>
      </c>
      <c r="D647" s="125">
        <f>65.9</f>
        <v>65.900000000000006</v>
      </c>
      <c r="E647" s="72">
        <f>15.55</f>
        <v>15.55</v>
      </c>
      <c r="F647" s="72">
        <v>1259.3499999999999</v>
      </c>
      <c r="G647" s="72">
        <v>1224.1412767425811</v>
      </c>
      <c r="H647" s="72" t="e">
        <f>NA()</f>
        <v>#N/A</v>
      </c>
      <c r="I647" s="126" t="e">
        <f>NA()</f>
        <v>#N/A</v>
      </c>
      <c r="J647" s="127" t="e">
        <f>NA()</f>
        <v>#N/A</v>
      </c>
      <c r="K647" s="128" t="e">
        <f>SUM(K529:K645)</f>
        <v>#N/A</v>
      </c>
      <c r="L647" s="106" t="e">
        <f>SUM(L529:L645)</f>
        <v>#N/A</v>
      </c>
      <c r="M647" s="72" t="e">
        <f t="shared" si="14"/>
        <v>#N/A</v>
      </c>
      <c r="O647" s="117"/>
      <c r="P647" s="117"/>
    </row>
    <row r="648" spans="1:16">
      <c r="A648" s="31"/>
      <c r="C648" s="129"/>
      <c r="D648" s="125">
        <f>25</f>
        <v>25</v>
      </c>
      <c r="E648" s="73">
        <f>12</f>
        <v>12</v>
      </c>
      <c r="F648" s="31">
        <v>1474.9449999999999</v>
      </c>
      <c r="G648" s="81"/>
      <c r="H648" s="81" t="e">
        <f>NA()</f>
        <v>#N/A</v>
      </c>
      <c r="I648" s="81"/>
      <c r="J648" s="108"/>
      <c r="K648" s="109">
        <f>18*(7+7)+8*(4.5+4.5)+(9+9)*70+10*1</f>
        <v>1594</v>
      </c>
      <c r="L648" s="117"/>
      <c r="M648" s="72"/>
      <c r="O648" s="117"/>
      <c r="P648" s="117"/>
    </row>
    <row r="649" spans="1:16">
      <c r="A649" s="31"/>
      <c r="D649" s="125">
        <f>18</f>
        <v>18</v>
      </c>
      <c r="E649" s="73">
        <f>12.9</f>
        <v>12.9</v>
      </c>
      <c r="F649" s="81">
        <v>564.6</v>
      </c>
      <c r="G649" s="81">
        <v>467.04</v>
      </c>
      <c r="H649" s="81"/>
      <c r="I649" s="81"/>
      <c r="J649" s="81"/>
      <c r="K649" s="109">
        <f>(D649*E649-8.65*6.4)*1.15</f>
        <v>203.36599999999999</v>
      </c>
      <c r="L649" s="115"/>
      <c r="M649" s="72"/>
      <c r="O649" s="117"/>
      <c r="P649" s="117"/>
    </row>
    <row r="650" spans="1:16">
      <c r="A650" s="31"/>
      <c r="C650" s="129"/>
      <c r="E650" s="130"/>
      <c r="F650" s="131">
        <v>323.52</v>
      </c>
      <c r="G650" s="131">
        <v>389.4</v>
      </c>
      <c r="H650" s="132" t="e">
        <f>NA()</f>
        <v>#N/A</v>
      </c>
      <c r="I650" s="81"/>
      <c r="J650" s="81"/>
      <c r="K650" s="109"/>
      <c r="L650" s="115"/>
      <c r="M650" s="72"/>
      <c r="O650" s="117"/>
      <c r="P650" s="117"/>
    </row>
    <row r="651" spans="1:16">
      <c r="A651" s="31"/>
      <c r="C651" s="129"/>
      <c r="G651" s="31"/>
      <c r="H651" s="81"/>
      <c r="I651" s="81"/>
      <c r="J651" s="81"/>
      <c r="K651" s="109"/>
      <c r="L651" s="115"/>
      <c r="M651" s="72">
        <f>H651-(I651+J651+K651+L651)</f>
        <v>0</v>
      </c>
      <c r="O651" s="117"/>
      <c r="P651" s="117"/>
    </row>
    <row r="652" spans="1:16">
      <c r="A652" s="31"/>
      <c r="C652" s="129"/>
      <c r="F652" s="72"/>
      <c r="H652" s="81"/>
      <c r="I652" s="81"/>
      <c r="J652" s="81"/>
      <c r="K652" s="109"/>
      <c r="L652" s="115"/>
      <c r="M652" s="72">
        <f>H652-(I652+J652+K652+L652)</f>
        <v>0</v>
      </c>
      <c r="O652" s="117"/>
      <c r="P652" s="117"/>
    </row>
    <row r="653" spans="1:16">
      <c r="A653" s="31"/>
      <c r="C653" s="129"/>
      <c r="G653" s="31"/>
      <c r="H653" s="81"/>
      <c r="I653" s="81"/>
      <c r="J653" s="81"/>
      <c r="K653" s="109"/>
      <c r="L653" s="115"/>
      <c r="M653" s="72">
        <f>H653-(I653+J653+K653+L653)</f>
        <v>0</v>
      </c>
      <c r="O653" s="117"/>
      <c r="P653" s="117"/>
    </row>
    <row r="654" spans="1:16">
      <c r="C654" s="28" t="s">
        <v>251</v>
      </c>
      <c r="G654" s="31"/>
      <c r="H654" s="29"/>
      <c r="I654" s="81">
        <v>3.4</v>
      </c>
      <c r="L654" s="72"/>
      <c r="M654" s="72"/>
      <c r="O654" s="72"/>
    </row>
    <row r="655" spans="1:16">
      <c r="C655" s="107" t="s">
        <v>252</v>
      </c>
      <c r="G655" s="31"/>
      <c r="H655" s="29"/>
      <c r="I655" s="133">
        <v>2.8</v>
      </c>
      <c r="L655" s="72"/>
      <c r="M655" s="72"/>
      <c r="O655" s="72"/>
    </row>
    <row r="656" spans="1:16">
      <c r="A656" s="28" t="s">
        <v>117</v>
      </c>
      <c r="C656" s="28" t="s">
        <v>120</v>
      </c>
      <c r="D656" s="31">
        <f>10.5</f>
        <v>10.5</v>
      </c>
      <c r="E656" s="73">
        <f>5</f>
        <v>5</v>
      </c>
      <c r="F656" s="72">
        <v>52.45</v>
      </c>
      <c r="G656" s="31">
        <v>31</v>
      </c>
      <c r="H656" s="31">
        <v>86.8</v>
      </c>
      <c r="I656" s="31">
        <v>11.2</v>
      </c>
      <c r="J656" s="31">
        <v>75.599999999999994</v>
      </c>
      <c r="K656" s="114">
        <f>H656-(I656+J656)</f>
        <v>0</v>
      </c>
      <c r="L656" s="72"/>
      <c r="M656" s="72">
        <f t="shared" ref="M656:M663" si="16">H656-(I656+J656+K656+L656)</f>
        <v>0</v>
      </c>
      <c r="O656" s="72"/>
    </row>
    <row r="657" spans="1:15">
      <c r="A657" s="28" t="s">
        <v>119</v>
      </c>
      <c r="C657" s="28" t="s">
        <v>122</v>
      </c>
      <c r="D657" s="31"/>
      <c r="E657" s="73"/>
      <c r="F657" s="72"/>
      <c r="G657" s="31"/>
      <c r="J657" s="31"/>
      <c r="L657" s="72"/>
      <c r="M657" s="72">
        <f t="shared" si="16"/>
        <v>0</v>
      </c>
      <c r="O657" s="72"/>
    </row>
    <row r="658" spans="1:15">
      <c r="A658" s="28" t="s">
        <v>121</v>
      </c>
      <c r="C658" s="28" t="s">
        <v>124</v>
      </c>
      <c r="D658" s="31">
        <f>4.2</f>
        <v>4.2</v>
      </c>
      <c r="E658" s="73">
        <f>3.45</f>
        <v>3.45</v>
      </c>
      <c r="F658" s="72">
        <v>14.5</v>
      </c>
      <c r="G658" s="31">
        <v>15.3</v>
      </c>
      <c r="H658" s="31">
        <v>42.84</v>
      </c>
      <c r="I658" s="31">
        <v>9.66</v>
      </c>
      <c r="J658" s="31">
        <v>23.52</v>
      </c>
      <c r="K658" s="114">
        <f>H658-(I658+J658)</f>
        <v>9.6600000000000037</v>
      </c>
      <c r="L658" s="115"/>
      <c r="M658" s="72">
        <f t="shared" si="16"/>
        <v>0</v>
      </c>
      <c r="O658" s="72"/>
    </row>
    <row r="659" spans="1:15">
      <c r="A659" s="28" t="s">
        <v>123</v>
      </c>
      <c r="C659" s="28" t="s">
        <v>126</v>
      </c>
      <c r="D659" s="31">
        <f>F659/E659</f>
        <v>10.55</v>
      </c>
      <c r="E659" s="73">
        <f>2</f>
        <v>2</v>
      </c>
      <c r="F659" s="72">
        <v>21.1</v>
      </c>
      <c r="G659" s="31">
        <v>25.1</v>
      </c>
      <c r="H659" s="31">
        <v>70.28</v>
      </c>
      <c r="J659" s="31"/>
      <c r="K659" s="114">
        <f>H659-(I659+J659)</f>
        <v>70.28</v>
      </c>
      <c r="L659" s="115"/>
      <c r="M659" s="72">
        <f t="shared" si="16"/>
        <v>0</v>
      </c>
      <c r="O659" s="72"/>
    </row>
    <row r="660" spans="1:15">
      <c r="A660" s="28" t="s">
        <v>125</v>
      </c>
      <c r="C660" s="28" t="s">
        <v>126</v>
      </c>
      <c r="D660" s="31">
        <f>27</f>
        <v>27</v>
      </c>
      <c r="E660" s="73">
        <f>4</f>
        <v>4</v>
      </c>
      <c r="F660" s="72">
        <v>65.55</v>
      </c>
      <c r="G660" s="31">
        <v>62</v>
      </c>
      <c r="H660" s="31">
        <v>173.6</v>
      </c>
      <c r="I660" s="31">
        <v>11.2</v>
      </c>
      <c r="J660" s="31">
        <v>11.2</v>
      </c>
      <c r="K660" s="114">
        <f>H660-(I660+J660)</f>
        <v>151.19999999999999</v>
      </c>
      <c r="L660" s="115"/>
      <c r="M660" s="72">
        <f t="shared" si="16"/>
        <v>0</v>
      </c>
      <c r="O660" s="72"/>
    </row>
    <row r="661" spans="1:15">
      <c r="A661" s="28" t="s">
        <v>127</v>
      </c>
      <c r="C661" s="28" t="s">
        <v>126</v>
      </c>
      <c r="D661" s="31">
        <f>36</f>
        <v>36</v>
      </c>
      <c r="E661" s="73">
        <f>4</f>
        <v>4</v>
      </c>
      <c r="F661" s="72">
        <v>77.45</v>
      </c>
      <c r="G661" s="31">
        <v>80</v>
      </c>
      <c r="H661" s="31">
        <v>224</v>
      </c>
      <c r="I661" s="31">
        <v>11.2</v>
      </c>
      <c r="J661" s="31">
        <v>11.2</v>
      </c>
      <c r="K661" s="114">
        <f>H661-(I661+J661)</f>
        <v>201.6</v>
      </c>
      <c r="L661" s="115"/>
      <c r="M661" s="72">
        <f t="shared" si="16"/>
        <v>0</v>
      </c>
      <c r="O661" s="72"/>
    </row>
    <row r="662" spans="1:15">
      <c r="A662" s="28" t="s">
        <v>128</v>
      </c>
      <c r="C662" s="28" t="s">
        <v>253</v>
      </c>
      <c r="D662" s="31">
        <f>6.35</f>
        <v>6.35</v>
      </c>
      <c r="E662" s="73">
        <f>2.5</f>
        <v>2.5</v>
      </c>
      <c r="F662" s="72">
        <v>5.8</v>
      </c>
      <c r="G662" s="31">
        <v>17.7</v>
      </c>
      <c r="H662" s="31">
        <v>49.56</v>
      </c>
      <c r="I662" s="31">
        <v>24.78</v>
      </c>
      <c r="J662" s="31">
        <v>24.78</v>
      </c>
      <c r="K662" s="114">
        <f>H662-(I662+J662)</f>
        <v>0</v>
      </c>
      <c r="L662" s="115"/>
      <c r="M662" s="72">
        <f t="shared" si="16"/>
        <v>0</v>
      </c>
      <c r="O662" s="72"/>
    </row>
    <row r="663" spans="1:15">
      <c r="A663" s="28" t="s">
        <v>129</v>
      </c>
      <c r="C663" s="28" t="s">
        <v>254</v>
      </c>
      <c r="D663" s="73">
        <f>7</f>
        <v>7</v>
      </c>
      <c r="E663" s="73">
        <f>3</f>
        <v>3</v>
      </c>
      <c r="F663" s="72">
        <v>23.1</v>
      </c>
      <c r="G663" s="31">
        <v>20</v>
      </c>
      <c r="H663" s="31">
        <v>40</v>
      </c>
      <c r="I663" s="31">
        <v>12</v>
      </c>
      <c r="J663" s="31">
        <v>28</v>
      </c>
      <c r="K663" s="114"/>
      <c r="L663" s="72"/>
      <c r="M663" s="72">
        <f t="shared" si="16"/>
        <v>0</v>
      </c>
      <c r="O663" s="72"/>
    </row>
    <row r="664" spans="1:15">
      <c r="C664" s="28"/>
      <c r="D664" s="73"/>
      <c r="E664" s="73"/>
      <c r="F664" s="72"/>
      <c r="G664" s="31"/>
      <c r="J664" s="31"/>
      <c r="K664" s="114"/>
      <c r="L664" s="72"/>
      <c r="M664" s="72"/>
      <c r="O664" s="72"/>
    </row>
    <row r="665" spans="1:15">
      <c r="A665" s="29"/>
      <c r="C665" s="107" t="s">
        <v>255</v>
      </c>
      <c r="D665" s="73"/>
      <c r="E665" s="73"/>
      <c r="G665" s="31"/>
      <c r="J665" s="109"/>
      <c r="L665" s="72"/>
      <c r="M665" s="72">
        <f t="shared" ref="M665:M696" si="17">H665-(I665+J665+K665+L665)</f>
        <v>0</v>
      </c>
      <c r="O665" s="72"/>
    </row>
    <row r="666" spans="1:15">
      <c r="A666" s="28" t="s">
        <v>196</v>
      </c>
      <c r="C666" s="28" t="s">
        <v>256</v>
      </c>
      <c r="D666" s="31">
        <f>7.6</f>
        <v>7.6</v>
      </c>
      <c r="E666" s="73">
        <f>6.2</f>
        <v>6.2</v>
      </c>
      <c r="F666" s="72">
        <v>47.9</v>
      </c>
      <c r="G666" s="31">
        <v>27.6</v>
      </c>
      <c r="H666" s="31">
        <v>93.84</v>
      </c>
      <c r="I666" s="31">
        <v>46.92</v>
      </c>
      <c r="J666" s="31"/>
      <c r="K666" s="114">
        <f t="shared" ref="K666:K673" si="18">H666-(I666+J666)</f>
        <v>46.92</v>
      </c>
      <c r="L666" s="115"/>
      <c r="M666" s="72">
        <f t="shared" si="17"/>
        <v>0</v>
      </c>
      <c r="O666" s="72"/>
    </row>
    <row r="667" spans="1:15">
      <c r="A667" s="28" t="s">
        <v>198</v>
      </c>
      <c r="C667" s="116" t="s">
        <v>257</v>
      </c>
      <c r="D667" s="117">
        <f>6.2</f>
        <v>6.2</v>
      </c>
      <c r="E667" s="118">
        <f>4</f>
        <v>4</v>
      </c>
      <c r="F667" s="72">
        <v>25.2</v>
      </c>
      <c r="G667" s="31">
        <v>20.399999999999999</v>
      </c>
      <c r="H667" s="117">
        <v>69.36</v>
      </c>
      <c r="I667" s="117">
        <v>34.68</v>
      </c>
      <c r="J667" s="31"/>
      <c r="K667" s="114">
        <f t="shared" si="18"/>
        <v>34.68</v>
      </c>
      <c r="L667" s="115"/>
      <c r="M667" s="72">
        <f t="shared" si="17"/>
        <v>0</v>
      </c>
      <c r="O667" s="72"/>
    </row>
    <row r="668" spans="1:15">
      <c r="A668" s="28" t="s">
        <v>200</v>
      </c>
      <c r="C668" s="28" t="s">
        <v>258</v>
      </c>
      <c r="D668" s="31">
        <f>F668/E668</f>
        <v>4.7</v>
      </c>
      <c r="E668" s="73">
        <f>3</f>
        <v>3</v>
      </c>
      <c r="F668" s="72">
        <v>14.1</v>
      </c>
      <c r="G668" s="31">
        <v>15.4</v>
      </c>
      <c r="H668" s="31">
        <v>52.36</v>
      </c>
      <c r="I668" s="31">
        <v>10.199999999999999</v>
      </c>
      <c r="J668" s="31"/>
      <c r="K668" s="114">
        <f t="shared" si="18"/>
        <v>42.16</v>
      </c>
      <c r="L668" s="115"/>
      <c r="M668" s="72">
        <f t="shared" si="17"/>
        <v>0</v>
      </c>
      <c r="O668" s="72"/>
    </row>
    <row r="669" spans="1:15">
      <c r="A669" s="28" t="s">
        <v>201</v>
      </c>
      <c r="C669" s="28" t="s">
        <v>258</v>
      </c>
      <c r="D669" s="31">
        <f>F669/E669</f>
        <v>4.7</v>
      </c>
      <c r="E669" s="73">
        <f>3</f>
        <v>3</v>
      </c>
      <c r="F669" s="72">
        <v>14.1</v>
      </c>
      <c r="G669" s="31">
        <v>15.4</v>
      </c>
      <c r="H669" s="31">
        <v>52.36</v>
      </c>
      <c r="I669" s="31">
        <v>10.199999999999999</v>
      </c>
      <c r="J669" s="31"/>
      <c r="K669" s="114">
        <f t="shared" si="18"/>
        <v>42.16</v>
      </c>
      <c r="L669" s="115"/>
      <c r="M669" s="72">
        <f t="shared" si="17"/>
        <v>0</v>
      </c>
      <c r="O669" s="72"/>
    </row>
    <row r="670" spans="1:15">
      <c r="A670" s="28" t="s">
        <v>203</v>
      </c>
      <c r="C670" s="28" t="s">
        <v>258</v>
      </c>
      <c r="D670" s="31">
        <f>F670/E670</f>
        <v>4.7</v>
      </c>
      <c r="E670" s="73">
        <f>3</f>
        <v>3</v>
      </c>
      <c r="F670" s="72">
        <v>14.1</v>
      </c>
      <c r="G670" s="31">
        <v>15.4</v>
      </c>
      <c r="H670" s="31">
        <v>52.36</v>
      </c>
      <c r="I670" s="31">
        <v>10.199999999999999</v>
      </c>
      <c r="J670" s="31"/>
      <c r="K670" s="114">
        <f t="shared" si="18"/>
        <v>42.16</v>
      </c>
      <c r="L670" s="115"/>
      <c r="M670" s="72">
        <f t="shared" si="17"/>
        <v>0</v>
      </c>
      <c r="O670" s="72"/>
    </row>
    <row r="671" spans="1:15">
      <c r="A671" s="28" t="s">
        <v>259</v>
      </c>
      <c r="C671" s="28" t="s">
        <v>258</v>
      </c>
      <c r="D671" s="31">
        <f>F671/E671</f>
        <v>4.7</v>
      </c>
      <c r="E671" s="73">
        <f>3</f>
        <v>3</v>
      </c>
      <c r="F671" s="72">
        <v>14.1</v>
      </c>
      <c r="G671" s="31">
        <v>15.4</v>
      </c>
      <c r="H671" s="31">
        <v>52.36</v>
      </c>
      <c r="I671" s="31">
        <v>10.199999999999999</v>
      </c>
      <c r="J671" s="31"/>
      <c r="K671" s="114">
        <f t="shared" si="18"/>
        <v>42.16</v>
      </c>
      <c r="L671" s="115"/>
      <c r="M671" s="72">
        <f t="shared" si="17"/>
        <v>0</v>
      </c>
      <c r="O671" s="72"/>
    </row>
    <row r="672" spans="1:15">
      <c r="A672" s="28" t="s">
        <v>260</v>
      </c>
      <c r="C672" s="28" t="s">
        <v>261</v>
      </c>
      <c r="D672" s="31">
        <f>4.7</f>
        <v>4.7</v>
      </c>
      <c r="E672" s="73">
        <f>4</f>
        <v>4</v>
      </c>
      <c r="F672" s="72">
        <v>17.850000000000001</v>
      </c>
      <c r="G672" s="31">
        <v>17.399999999999999</v>
      </c>
      <c r="H672" s="31">
        <v>59.16</v>
      </c>
      <c r="I672" s="31">
        <v>21.59</v>
      </c>
      <c r="J672" s="31">
        <v>13.6</v>
      </c>
      <c r="K672" s="114">
        <f t="shared" si="18"/>
        <v>23.97</v>
      </c>
      <c r="L672" s="115"/>
      <c r="M672" s="72">
        <f t="shared" si="17"/>
        <v>0</v>
      </c>
      <c r="O672" s="72"/>
    </row>
    <row r="673" spans="1:15">
      <c r="A673" s="28" t="s">
        <v>262</v>
      </c>
      <c r="C673" s="28" t="s">
        <v>263</v>
      </c>
      <c r="D673" s="31">
        <f>4.7</f>
        <v>4.7</v>
      </c>
      <c r="E673" s="73">
        <f>4</f>
        <v>4</v>
      </c>
      <c r="F673" s="72">
        <v>18.8</v>
      </c>
      <c r="G673" s="31">
        <v>17.399999999999999</v>
      </c>
      <c r="H673" s="31">
        <v>59.16</v>
      </c>
      <c r="I673" s="31">
        <v>21.59</v>
      </c>
      <c r="J673" s="31">
        <v>7.99</v>
      </c>
      <c r="K673" s="114">
        <f t="shared" si="18"/>
        <v>29.58</v>
      </c>
      <c r="L673" s="115"/>
      <c r="M673" s="72">
        <f t="shared" si="17"/>
        <v>0</v>
      </c>
      <c r="O673" s="72"/>
    </row>
    <row r="674" spans="1:15">
      <c r="A674" s="28" t="s">
        <v>264</v>
      </c>
      <c r="B674" s="175"/>
      <c r="C674" s="116" t="s">
        <v>132</v>
      </c>
      <c r="D674" s="117">
        <f>2.3</f>
        <v>2.2999999999999998</v>
      </c>
      <c r="E674" s="118">
        <f>1.3</f>
        <v>1.3</v>
      </c>
      <c r="F674" s="72">
        <v>3</v>
      </c>
      <c r="G674" s="31">
        <v>7.2</v>
      </c>
      <c r="H674" s="117">
        <v>20.16</v>
      </c>
      <c r="I674" s="117">
        <v>3.64</v>
      </c>
      <c r="J674" s="117">
        <v>6.44</v>
      </c>
      <c r="L674" s="117">
        <f>H674-(I674+J674+K674)</f>
        <v>10.08</v>
      </c>
      <c r="M674" s="72">
        <f t="shared" si="17"/>
        <v>0</v>
      </c>
      <c r="O674" s="117"/>
    </row>
    <row r="675" spans="1:15">
      <c r="A675" s="28" t="s">
        <v>265</v>
      </c>
      <c r="C675" s="116" t="s">
        <v>266</v>
      </c>
      <c r="D675" s="134">
        <f>2.375</f>
        <v>2.375</v>
      </c>
      <c r="E675" s="122">
        <f>2.025</f>
        <v>2.0249999999999999</v>
      </c>
      <c r="F675" s="72">
        <v>4.8</v>
      </c>
      <c r="G675" s="31">
        <v>8.8000000000000007</v>
      </c>
      <c r="H675" s="117">
        <v>24.64</v>
      </c>
      <c r="I675" s="117">
        <v>5.67</v>
      </c>
      <c r="J675" s="117">
        <v>6.65</v>
      </c>
      <c r="L675" s="117">
        <f>H675-(I675+J675+K675)</f>
        <v>12.32</v>
      </c>
      <c r="M675" s="72">
        <f t="shared" si="17"/>
        <v>0</v>
      </c>
      <c r="O675" s="117"/>
    </row>
    <row r="676" spans="1:15">
      <c r="A676" s="29"/>
      <c r="C676" s="107" t="s">
        <v>267</v>
      </c>
      <c r="D676" s="117"/>
      <c r="E676" s="118"/>
      <c r="G676" s="31"/>
      <c r="H676" s="117"/>
      <c r="I676" s="29"/>
      <c r="J676" s="117"/>
      <c r="L676" s="115"/>
      <c r="M676" s="72">
        <f t="shared" si="17"/>
        <v>0</v>
      </c>
      <c r="O676" s="117"/>
    </row>
    <row r="677" spans="1:15">
      <c r="A677" s="28" t="s">
        <v>268</v>
      </c>
      <c r="C677" s="28" t="s">
        <v>269</v>
      </c>
      <c r="D677" s="31">
        <f>8.5</f>
        <v>8.5</v>
      </c>
      <c r="E677" s="73">
        <f>3.6</f>
        <v>3.6</v>
      </c>
      <c r="F677" s="72">
        <v>27.65</v>
      </c>
      <c r="G677" s="31">
        <v>24.2</v>
      </c>
      <c r="H677" s="31">
        <v>67.760000000000005</v>
      </c>
      <c r="I677" s="31">
        <v>10.08</v>
      </c>
      <c r="J677" s="31"/>
      <c r="K677" s="114">
        <f>H677-(I677+J677)</f>
        <v>57.680000000000007</v>
      </c>
      <c r="L677" s="115"/>
      <c r="M677" s="72">
        <f t="shared" si="17"/>
        <v>0</v>
      </c>
      <c r="O677" s="72"/>
    </row>
    <row r="678" spans="1:15">
      <c r="A678" s="28" t="s">
        <v>270</v>
      </c>
      <c r="C678" s="28" t="s">
        <v>271</v>
      </c>
      <c r="D678" s="31">
        <f>2</f>
        <v>2</v>
      </c>
      <c r="E678" s="73">
        <f>2</f>
        <v>2</v>
      </c>
      <c r="F678" s="72">
        <v>4</v>
      </c>
      <c r="G678" s="31">
        <v>8</v>
      </c>
      <c r="H678" s="31">
        <v>22.4</v>
      </c>
      <c r="I678" s="31">
        <v>5.6</v>
      </c>
      <c r="J678" s="31">
        <v>11.2</v>
      </c>
      <c r="K678" s="114">
        <f>H678-(I678+J678)</f>
        <v>5.6000000000000014</v>
      </c>
      <c r="L678" s="115"/>
      <c r="M678" s="72">
        <f t="shared" si="17"/>
        <v>0</v>
      </c>
      <c r="O678" s="72"/>
    </row>
    <row r="679" spans="1:15">
      <c r="A679" s="28" t="s">
        <v>272</v>
      </c>
      <c r="C679" s="28" t="s">
        <v>271</v>
      </c>
      <c r="D679" s="31">
        <f>2</f>
        <v>2</v>
      </c>
      <c r="E679" s="124">
        <f>F679/D679</f>
        <v>1.875</v>
      </c>
      <c r="F679" s="72">
        <v>3.75</v>
      </c>
      <c r="G679" s="31">
        <v>7.75</v>
      </c>
      <c r="H679" s="31">
        <v>21.7</v>
      </c>
      <c r="J679" s="31">
        <v>10.85</v>
      </c>
      <c r="K679" s="114">
        <f>H679-(I679+J679)</f>
        <v>10.85</v>
      </c>
      <c r="L679" s="115"/>
      <c r="M679" s="72">
        <f t="shared" si="17"/>
        <v>0</v>
      </c>
      <c r="O679" s="72"/>
    </row>
    <row r="680" spans="1:15">
      <c r="A680" s="29"/>
      <c r="C680" s="107" t="s">
        <v>273</v>
      </c>
      <c r="D680" s="108"/>
      <c r="E680" s="73"/>
      <c r="J680" s="109"/>
      <c r="L680" s="115"/>
      <c r="M680" s="72">
        <f t="shared" si="17"/>
        <v>0</v>
      </c>
      <c r="O680" s="72"/>
    </row>
    <row r="681" spans="1:15">
      <c r="A681" s="28" t="s">
        <v>274</v>
      </c>
      <c r="C681" s="116" t="s">
        <v>275</v>
      </c>
      <c r="D681" s="117">
        <f>4.32</f>
        <v>4.32</v>
      </c>
      <c r="E681" s="122">
        <f>2.825</f>
        <v>2.8250000000000002</v>
      </c>
      <c r="F681" s="72">
        <v>12.2</v>
      </c>
      <c r="G681" s="31">
        <v>14.29</v>
      </c>
      <c r="H681" s="117">
        <v>40.012</v>
      </c>
      <c r="I681" s="117">
        <v>7.91</v>
      </c>
      <c r="J681" s="117">
        <v>12.096</v>
      </c>
      <c r="K681" s="114"/>
      <c r="L681" s="117">
        <f>H681-(I681+J681+K681)</f>
        <v>20.006</v>
      </c>
      <c r="M681" s="72">
        <f t="shared" si="17"/>
        <v>0</v>
      </c>
      <c r="O681" s="72"/>
    </row>
    <row r="682" spans="1:15">
      <c r="A682" s="28" t="s">
        <v>276</v>
      </c>
      <c r="C682" s="28" t="s">
        <v>277</v>
      </c>
      <c r="D682" s="31">
        <f>7.5</f>
        <v>7.5</v>
      </c>
      <c r="E682" s="73">
        <f>4.5</f>
        <v>4.5</v>
      </c>
      <c r="F682" s="72">
        <v>26.6</v>
      </c>
      <c r="G682" s="31">
        <v>24</v>
      </c>
      <c r="H682" s="31">
        <v>67.2</v>
      </c>
      <c r="I682" s="31">
        <v>23.1</v>
      </c>
      <c r="J682" s="31">
        <v>44.1</v>
      </c>
      <c r="K682" s="114">
        <f>H682-(I682+J682)</f>
        <v>0</v>
      </c>
      <c r="L682" s="115"/>
      <c r="M682" s="72">
        <f t="shared" si="17"/>
        <v>0</v>
      </c>
      <c r="O682" s="72"/>
    </row>
    <row r="683" spans="1:15">
      <c r="A683" s="28" t="s">
        <v>278</v>
      </c>
      <c r="C683" s="116" t="s">
        <v>163</v>
      </c>
      <c r="D683" s="117">
        <f>2.85</f>
        <v>2.85</v>
      </c>
      <c r="E683" s="118">
        <f>2.2</f>
        <v>2.2000000000000002</v>
      </c>
      <c r="F683" s="72">
        <v>6.25</v>
      </c>
      <c r="G683" s="31">
        <v>10.1</v>
      </c>
      <c r="H683" s="117">
        <v>28.28</v>
      </c>
      <c r="I683" s="29"/>
      <c r="J683" s="117">
        <v>14.14</v>
      </c>
      <c r="L683" s="117">
        <f>H683-(I683+J683+K683)</f>
        <v>14.14</v>
      </c>
      <c r="M683" s="72">
        <f t="shared" si="17"/>
        <v>0</v>
      </c>
      <c r="O683" s="117"/>
    </row>
    <row r="684" spans="1:15">
      <c r="A684" s="28" t="s">
        <v>279</v>
      </c>
      <c r="C684" s="28" t="s">
        <v>277</v>
      </c>
      <c r="D684" s="31">
        <f>7.5</f>
        <v>7.5</v>
      </c>
      <c r="E684" s="73">
        <f>4.5</f>
        <v>4.5</v>
      </c>
      <c r="F684" s="72">
        <v>29.45</v>
      </c>
      <c r="G684" s="31">
        <v>24</v>
      </c>
      <c r="H684" s="31">
        <v>67.2</v>
      </c>
      <c r="I684" s="31">
        <v>12.6</v>
      </c>
      <c r="J684" s="31">
        <v>42</v>
      </c>
      <c r="K684" s="114">
        <f>H684-(I684+J684)</f>
        <v>12.600000000000001</v>
      </c>
      <c r="L684" s="115"/>
      <c r="M684" s="72">
        <f t="shared" si="17"/>
        <v>0</v>
      </c>
      <c r="O684" s="72"/>
    </row>
    <row r="685" spans="1:15">
      <c r="A685" s="28" t="s">
        <v>280</v>
      </c>
      <c r="C685" s="116" t="s">
        <v>163</v>
      </c>
      <c r="D685" s="134">
        <f>2.225</f>
        <v>2.2250000000000001</v>
      </c>
      <c r="E685" s="118">
        <f>1.8</f>
        <v>1.8</v>
      </c>
      <c r="F685" s="72">
        <v>4</v>
      </c>
      <c r="G685" s="31">
        <v>8.0500000000000007</v>
      </c>
      <c r="H685" s="117">
        <v>22.54</v>
      </c>
      <c r="I685" s="29"/>
      <c r="J685" s="117">
        <v>11.27</v>
      </c>
      <c r="L685" s="117">
        <f>H685-(I685+J685+K685)</f>
        <v>11.27</v>
      </c>
      <c r="M685" s="72">
        <f t="shared" si="17"/>
        <v>0</v>
      </c>
      <c r="O685" s="117"/>
    </row>
    <row r="686" spans="1:15">
      <c r="A686" s="28" t="s">
        <v>281</v>
      </c>
      <c r="C686" s="28" t="s">
        <v>282</v>
      </c>
      <c r="D686" s="31">
        <f>6.35</f>
        <v>6.35</v>
      </c>
      <c r="E686" s="73">
        <f>4.55</f>
        <v>4.55</v>
      </c>
      <c r="F686" s="72">
        <v>24</v>
      </c>
      <c r="G686" s="31">
        <v>21.8</v>
      </c>
      <c r="H686" s="31">
        <v>61.04</v>
      </c>
      <c r="I686" s="31">
        <v>12.74</v>
      </c>
      <c r="J686" s="31">
        <v>35.56</v>
      </c>
      <c r="K686" s="114">
        <f>H686-(I686+J686)</f>
        <v>12.739999999999995</v>
      </c>
      <c r="L686" s="115"/>
      <c r="M686" s="72">
        <f t="shared" si="17"/>
        <v>0</v>
      </c>
      <c r="O686" s="72"/>
    </row>
    <row r="687" spans="1:15">
      <c r="A687" s="28" t="s">
        <v>283</v>
      </c>
      <c r="C687" s="116" t="s">
        <v>163</v>
      </c>
      <c r="D687" s="134">
        <f>2.225</f>
        <v>2.2250000000000001</v>
      </c>
      <c r="E687" s="118">
        <f>1.8</f>
        <v>1.8</v>
      </c>
      <c r="F687" s="72">
        <v>4</v>
      </c>
      <c r="G687" s="31">
        <v>8.0500000000000007</v>
      </c>
      <c r="H687" s="117">
        <v>22.54</v>
      </c>
      <c r="I687" s="29"/>
      <c r="J687" s="117">
        <v>11.27</v>
      </c>
      <c r="L687" s="117">
        <f>H687-(I687+J687+K687)</f>
        <v>11.27</v>
      </c>
      <c r="M687" s="72">
        <f t="shared" si="17"/>
        <v>0</v>
      </c>
      <c r="O687" s="117"/>
    </row>
    <row r="688" spans="1:15">
      <c r="A688" s="28" t="s">
        <v>284</v>
      </c>
      <c r="C688" s="28" t="s">
        <v>282</v>
      </c>
      <c r="D688" s="31">
        <f>6.35</f>
        <v>6.35</v>
      </c>
      <c r="E688" s="73">
        <f>4.5</f>
        <v>4.5</v>
      </c>
      <c r="F688" s="72">
        <v>24</v>
      </c>
      <c r="G688" s="31">
        <v>21.7</v>
      </c>
      <c r="H688" s="31">
        <v>60.76</v>
      </c>
      <c r="I688" s="31">
        <v>12.6</v>
      </c>
      <c r="J688" s="31">
        <v>35.56</v>
      </c>
      <c r="K688" s="114">
        <f>H688-(I688+J688)</f>
        <v>12.599999999999994</v>
      </c>
      <c r="L688" s="115"/>
      <c r="M688" s="72">
        <f t="shared" si="17"/>
        <v>0</v>
      </c>
      <c r="O688" s="72"/>
    </row>
    <row r="689" spans="1:15">
      <c r="A689" s="28" t="s">
        <v>285</v>
      </c>
      <c r="C689" s="116" t="s">
        <v>163</v>
      </c>
      <c r="D689" s="134">
        <f>2.225</f>
        <v>2.2250000000000001</v>
      </c>
      <c r="E689" s="118">
        <f>1.8</f>
        <v>1.8</v>
      </c>
      <c r="F689" s="72">
        <v>4</v>
      </c>
      <c r="G689" s="31">
        <v>8.0500000000000007</v>
      </c>
      <c r="H689" s="117">
        <v>22.54</v>
      </c>
      <c r="I689" s="29"/>
      <c r="J689" s="117">
        <v>11.27</v>
      </c>
      <c r="L689" s="117">
        <f>H689-(I689+J689+K689)</f>
        <v>11.27</v>
      </c>
      <c r="M689" s="72">
        <f t="shared" si="17"/>
        <v>0</v>
      </c>
      <c r="O689" s="117"/>
    </row>
    <row r="690" spans="1:15">
      <c r="A690" s="28" t="s">
        <v>286</v>
      </c>
      <c r="C690" s="28" t="s">
        <v>282</v>
      </c>
      <c r="D690" s="31">
        <f>6.35</f>
        <v>6.35</v>
      </c>
      <c r="E690" s="73">
        <f>4.5</f>
        <v>4.5</v>
      </c>
      <c r="F690" s="72">
        <v>24</v>
      </c>
      <c r="G690" s="31">
        <v>21.7</v>
      </c>
      <c r="H690" s="31">
        <v>60.76</v>
      </c>
      <c r="I690" s="31">
        <v>12.6</v>
      </c>
      <c r="J690" s="31">
        <v>35.56</v>
      </c>
      <c r="K690" s="114">
        <f>H690-(I690+J690)</f>
        <v>12.599999999999994</v>
      </c>
      <c r="L690" s="115"/>
      <c r="M690" s="72">
        <f t="shared" si="17"/>
        <v>0</v>
      </c>
      <c r="O690" s="72"/>
    </row>
    <row r="691" spans="1:15">
      <c r="A691" s="28" t="s">
        <v>287</v>
      </c>
      <c r="C691" s="116" t="s">
        <v>163</v>
      </c>
      <c r="D691" s="134">
        <f>2.225</f>
        <v>2.2250000000000001</v>
      </c>
      <c r="E691" s="118">
        <f>1.8</f>
        <v>1.8</v>
      </c>
      <c r="F691" s="72">
        <v>4</v>
      </c>
      <c r="G691" s="31">
        <v>8.0500000000000007</v>
      </c>
      <c r="H691" s="117">
        <v>22.54</v>
      </c>
      <c r="I691" s="29"/>
      <c r="J691" s="117">
        <v>11.27</v>
      </c>
      <c r="L691" s="117">
        <f>H691-(I691+J691+K691)</f>
        <v>11.27</v>
      </c>
      <c r="M691" s="72">
        <f t="shared" si="17"/>
        <v>0</v>
      </c>
      <c r="O691" s="117"/>
    </row>
    <row r="692" spans="1:15">
      <c r="A692" s="28" t="s">
        <v>288</v>
      </c>
      <c r="C692" s="28" t="s">
        <v>282</v>
      </c>
      <c r="D692" s="31">
        <f>6.35</f>
        <v>6.35</v>
      </c>
      <c r="E692" s="73">
        <f>4.5</f>
        <v>4.5</v>
      </c>
      <c r="F692" s="72">
        <v>24</v>
      </c>
      <c r="G692" s="31">
        <v>21.7</v>
      </c>
      <c r="H692" s="31">
        <v>60.76</v>
      </c>
      <c r="I692" s="31">
        <v>12.6</v>
      </c>
      <c r="J692" s="31">
        <v>35.56</v>
      </c>
      <c r="K692" s="114">
        <f>H692-(I692+J692)</f>
        <v>12.599999999999994</v>
      </c>
      <c r="L692" s="115"/>
      <c r="M692" s="72">
        <f t="shared" si="17"/>
        <v>0</v>
      </c>
      <c r="O692" s="72"/>
    </row>
    <row r="693" spans="1:15">
      <c r="A693" s="28" t="s">
        <v>289</v>
      </c>
      <c r="C693" s="116" t="s">
        <v>163</v>
      </c>
      <c r="D693" s="134">
        <f>2.225</f>
        <v>2.2250000000000001</v>
      </c>
      <c r="E693" s="118">
        <f>1.8</f>
        <v>1.8</v>
      </c>
      <c r="F693" s="72">
        <v>4</v>
      </c>
      <c r="G693" s="31">
        <v>8.0500000000000007</v>
      </c>
      <c r="H693" s="117">
        <v>22.54</v>
      </c>
      <c r="I693" s="29"/>
      <c r="J693" s="117">
        <v>11.27</v>
      </c>
      <c r="L693" s="117">
        <f>H693-(I693+J693+K693)</f>
        <v>11.27</v>
      </c>
      <c r="M693" s="72">
        <f t="shared" si="17"/>
        <v>0</v>
      </c>
      <c r="O693" s="117"/>
    </row>
    <row r="694" spans="1:15">
      <c r="A694" s="28" t="s">
        <v>290</v>
      </c>
      <c r="C694" s="28" t="s">
        <v>291</v>
      </c>
      <c r="D694" s="31">
        <f>6.35</f>
        <v>6.35</v>
      </c>
      <c r="E694" s="124">
        <f>2.925</f>
        <v>2.9249999999999998</v>
      </c>
      <c r="F694" s="72">
        <v>14.75</v>
      </c>
      <c r="G694" s="31">
        <v>18.55</v>
      </c>
      <c r="H694" s="31">
        <v>51.94</v>
      </c>
      <c r="I694" s="31">
        <v>25.97</v>
      </c>
      <c r="J694" s="31">
        <v>25.97</v>
      </c>
      <c r="K694" s="114">
        <f>H694-(I694+J694)</f>
        <v>0</v>
      </c>
      <c r="L694" s="115"/>
      <c r="M694" s="72">
        <f t="shared" si="17"/>
        <v>0</v>
      </c>
      <c r="O694" s="72"/>
    </row>
    <row r="695" spans="1:15">
      <c r="A695" s="28" t="s">
        <v>292</v>
      </c>
      <c r="C695" s="116" t="s">
        <v>163</v>
      </c>
      <c r="D695" s="134">
        <f>2.225</f>
        <v>2.2250000000000001</v>
      </c>
      <c r="E695" s="118">
        <f>1.4</f>
        <v>1.4</v>
      </c>
      <c r="F695" s="72">
        <v>3.1</v>
      </c>
      <c r="G695" s="31">
        <v>7.25</v>
      </c>
      <c r="H695" s="117">
        <v>20.3</v>
      </c>
      <c r="I695" s="29"/>
      <c r="J695" s="117">
        <v>10.15</v>
      </c>
      <c r="L695" s="117">
        <f>H695-(I695+J695+K695)</f>
        <v>10.15</v>
      </c>
      <c r="M695" s="72">
        <f t="shared" si="17"/>
        <v>0</v>
      </c>
      <c r="O695" s="117"/>
    </row>
    <row r="696" spans="1:15">
      <c r="A696" s="28" t="s">
        <v>293</v>
      </c>
      <c r="C696" s="28" t="s">
        <v>294</v>
      </c>
      <c r="D696" s="31">
        <f>6.35</f>
        <v>6.35</v>
      </c>
      <c r="E696" s="124">
        <f>2.925</f>
        <v>2.9249999999999998</v>
      </c>
      <c r="F696" s="72">
        <v>14.75</v>
      </c>
      <c r="G696" s="31">
        <v>18.55</v>
      </c>
      <c r="H696" s="31">
        <v>51.94</v>
      </c>
      <c r="I696" s="31">
        <v>8.19</v>
      </c>
      <c r="J696" s="31">
        <v>35.56</v>
      </c>
      <c r="K696" s="114">
        <f>H696-(I696+J696)</f>
        <v>8.1899999999999977</v>
      </c>
      <c r="L696" s="115"/>
      <c r="M696" s="72">
        <f t="shared" si="17"/>
        <v>0</v>
      </c>
      <c r="O696" s="72"/>
    </row>
    <row r="697" spans="1:15">
      <c r="A697" s="28" t="s">
        <v>295</v>
      </c>
      <c r="C697" s="116" t="s">
        <v>163</v>
      </c>
      <c r="D697" s="134">
        <f>2.225</f>
        <v>2.2250000000000001</v>
      </c>
      <c r="E697" s="118">
        <f>1.4</f>
        <v>1.4</v>
      </c>
      <c r="F697" s="72">
        <v>3.1</v>
      </c>
      <c r="G697" s="31">
        <v>7.25</v>
      </c>
      <c r="H697" s="117">
        <v>20.3</v>
      </c>
      <c r="I697" s="29"/>
      <c r="J697" s="117">
        <v>10.15</v>
      </c>
      <c r="L697" s="117">
        <f>H697-(I697+J697+K697)</f>
        <v>10.15</v>
      </c>
      <c r="M697" s="72">
        <f t="shared" ref="M697:M728" si="19">H697-(I697+J697+K697+L697)</f>
        <v>0</v>
      </c>
      <c r="O697" s="117"/>
    </row>
    <row r="698" spans="1:15">
      <c r="A698" s="28" t="s">
        <v>296</v>
      </c>
      <c r="C698" s="28" t="s">
        <v>291</v>
      </c>
      <c r="D698" s="31">
        <f>6.35</f>
        <v>6.35</v>
      </c>
      <c r="E698" s="124">
        <f>2.925</f>
        <v>2.9249999999999998</v>
      </c>
      <c r="F698" s="72">
        <v>14.75</v>
      </c>
      <c r="G698" s="31">
        <v>18.55</v>
      </c>
      <c r="H698" s="31">
        <v>51.94</v>
      </c>
      <c r="I698" s="31">
        <v>8.19</v>
      </c>
      <c r="J698" s="31">
        <v>35.56</v>
      </c>
      <c r="K698" s="114">
        <f>H698-(I698+J698)</f>
        <v>8.1899999999999977</v>
      </c>
      <c r="L698" s="115"/>
      <c r="M698" s="72">
        <f t="shared" si="19"/>
        <v>0</v>
      </c>
      <c r="O698" s="72"/>
    </row>
    <row r="699" spans="1:15">
      <c r="A699" s="28" t="s">
        <v>297</v>
      </c>
      <c r="C699" s="116" t="s">
        <v>163</v>
      </c>
      <c r="D699" s="134">
        <f>2.225</f>
        <v>2.2250000000000001</v>
      </c>
      <c r="E699" s="118">
        <f>1.4</f>
        <v>1.4</v>
      </c>
      <c r="F699" s="72">
        <v>3.1</v>
      </c>
      <c r="G699" s="31">
        <v>7.25</v>
      </c>
      <c r="H699" s="117">
        <v>20.3</v>
      </c>
      <c r="I699" s="29"/>
      <c r="J699" s="117">
        <v>10.15</v>
      </c>
      <c r="L699" s="117">
        <f>H699-(I699+J699+K699)</f>
        <v>10.15</v>
      </c>
      <c r="M699" s="72">
        <f t="shared" si="19"/>
        <v>0</v>
      </c>
      <c r="O699" s="117"/>
    </row>
    <row r="700" spans="1:15">
      <c r="A700" s="28" t="s">
        <v>298</v>
      </c>
      <c r="C700" s="28" t="s">
        <v>294</v>
      </c>
      <c r="D700" s="31">
        <f>6.35</f>
        <v>6.35</v>
      </c>
      <c r="E700" s="124">
        <f>2.925</f>
        <v>2.9249999999999998</v>
      </c>
      <c r="F700" s="72">
        <v>14.75</v>
      </c>
      <c r="G700" s="31">
        <v>18.55</v>
      </c>
      <c r="H700" s="31">
        <v>51.94</v>
      </c>
      <c r="I700" s="31">
        <v>8.19</v>
      </c>
      <c r="J700" s="31">
        <v>35.56</v>
      </c>
      <c r="K700" s="114">
        <f>H700-(I700+J700)</f>
        <v>8.1899999999999977</v>
      </c>
      <c r="L700" s="115"/>
      <c r="M700" s="72">
        <f t="shared" si="19"/>
        <v>0</v>
      </c>
      <c r="O700" s="72"/>
    </row>
    <row r="701" spans="1:15">
      <c r="A701" s="28" t="s">
        <v>299</v>
      </c>
      <c r="C701" s="116" t="s">
        <v>163</v>
      </c>
      <c r="D701" s="134">
        <f>2.225</f>
        <v>2.2250000000000001</v>
      </c>
      <c r="E701" s="118">
        <f>1.4</f>
        <v>1.4</v>
      </c>
      <c r="F701" s="72">
        <v>3.1</v>
      </c>
      <c r="G701" s="31">
        <v>7.25</v>
      </c>
      <c r="H701" s="117">
        <v>20.3</v>
      </c>
      <c r="I701" s="29"/>
      <c r="J701" s="117">
        <v>10.15</v>
      </c>
      <c r="L701" s="117">
        <f>H701-(I701+J701+K701)</f>
        <v>10.15</v>
      </c>
      <c r="M701" s="72">
        <f t="shared" si="19"/>
        <v>0</v>
      </c>
      <c r="O701" s="117"/>
    </row>
    <row r="702" spans="1:15">
      <c r="A702" s="28" t="s">
        <v>300</v>
      </c>
      <c r="B702" s="175"/>
      <c r="C702" s="28" t="s">
        <v>294</v>
      </c>
      <c r="D702" s="31">
        <f>6.35</f>
        <v>6.35</v>
      </c>
      <c r="E702" s="124">
        <f>2.925</f>
        <v>2.9249999999999998</v>
      </c>
      <c r="F702" s="72">
        <v>13.6</v>
      </c>
      <c r="G702" s="31">
        <v>18.55</v>
      </c>
      <c r="H702" s="31">
        <v>51.94</v>
      </c>
      <c r="I702" s="31">
        <v>8.19</v>
      </c>
      <c r="J702" s="31">
        <v>35.56</v>
      </c>
      <c r="K702" s="114">
        <f>H702-(I702+J702)</f>
        <v>8.1899999999999977</v>
      </c>
      <c r="L702" s="115"/>
      <c r="M702" s="72">
        <f t="shared" si="19"/>
        <v>0</v>
      </c>
      <c r="O702" s="72"/>
    </row>
    <row r="703" spans="1:15">
      <c r="A703" s="28" t="s">
        <v>301</v>
      </c>
      <c r="B703" s="175"/>
      <c r="C703" s="116" t="s">
        <v>163</v>
      </c>
      <c r="D703" s="134">
        <f>2.225</f>
        <v>2.2250000000000001</v>
      </c>
      <c r="E703" s="118">
        <f>1.4</f>
        <v>1.4</v>
      </c>
      <c r="F703" s="72">
        <v>3.1</v>
      </c>
      <c r="G703" s="31">
        <v>7.25</v>
      </c>
      <c r="H703" s="117">
        <v>20.3</v>
      </c>
      <c r="I703" s="29"/>
      <c r="J703" s="117">
        <v>10.15</v>
      </c>
      <c r="L703" s="117">
        <f>H703-(I703+J703+K703)</f>
        <v>10.15</v>
      </c>
      <c r="M703" s="72">
        <f t="shared" si="19"/>
        <v>0</v>
      </c>
      <c r="O703" s="117"/>
    </row>
    <row r="704" spans="1:15">
      <c r="A704" s="28" t="s">
        <v>302</v>
      </c>
      <c r="B704" s="175"/>
      <c r="C704" s="28" t="s">
        <v>294</v>
      </c>
      <c r="D704" s="31">
        <f>6.35</f>
        <v>6.35</v>
      </c>
      <c r="E704" s="124">
        <f>2.925</f>
        <v>2.9249999999999998</v>
      </c>
      <c r="F704" s="72">
        <v>13.6</v>
      </c>
      <c r="G704" s="31">
        <v>18.55</v>
      </c>
      <c r="H704" s="31">
        <v>51.94</v>
      </c>
      <c r="I704" s="31">
        <v>8.19</v>
      </c>
      <c r="J704" s="31">
        <v>35.56</v>
      </c>
      <c r="K704" s="114">
        <f>H704-(I704+J704)</f>
        <v>8.1899999999999977</v>
      </c>
      <c r="L704" s="115"/>
      <c r="M704" s="72">
        <f t="shared" si="19"/>
        <v>0</v>
      </c>
      <c r="O704" s="72"/>
    </row>
    <row r="705" spans="1:15">
      <c r="A705" s="28" t="s">
        <v>303</v>
      </c>
      <c r="B705" s="175"/>
      <c r="C705" s="116" t="s">
        <v>163</v>
      </c>
      <c r="D705" s="134">
        <f>2.225</f>
        <v>2.2250000000000001</v>
      </c>
      <c r="E705" s="118">
        <f>1.4</f>
        <v>1.4</v>
      </c>
      <c r="F705" s="72">
        <v>3.1</v>
      </c>
      <c r="G705" s="31">
        <v>7.25</v>
      </c>
      <c r="H705" s="117">
        <v>20.3</v>
      </c>
      <c r="I705" s="29"/>
      <c r="J705" s="117">
        <v>10.15</v>
      </c>
      <c r="L705" s="117">
        <f>H705-(I705+J705+K705)</f>
        <v>10.15</v>
      </c>
      <c r="M705" s="72">
        <f t="shared" si="19"/>
        <v>0</v>
      </c>
      <c r="O705" s="117"/>
    </row>
    <row r="706" spans="1:15">
      <c r="A706" s="28" t="s">
        <v>304</v>
      </c>
      <c r="C706" s="28" t="s">
        <v>291</v>
      </c>
      <c r="D706" s="31">
        <f>6.35</f>
        <v>6.35</v>
      </c>
      <c r="E706" s="124">
        <f>2.925</f>
        <v>2.9249999999999998</v>
      </c>
      <c r="F706" s="72">
        <v>14.75</v>
      </c>
      <c r="G706" s="31">
        <v>18.55</v>
      </c>
      <c r="H706" s="31">
        <v>51.94</v>
      </c>
      <c r="I706" s="31">
        <v>8.19</v>
      </c>
      <c r="J706" s="31">
        <v>35.56</v>
      </c>
      <c r="K706" s="114">
        <f>H706-(I706+J706)</f>
        <v>8.1899999999999977</v>
      </c>
      <c r="L706" s="115"/>
      <c r="M706" s="72">
        <f t="shared" si="19"/>
        <v>0</v>
      </c>
      <c r="O706" s="72"/>
    </row>
    <row r="707" spans="1:15">
      <c r="A707" s="28" t="s">
        <v>305</v>
      </c>
      <c r="C707" s="116" t="s">
        <v>163</v>
      </c>
      <c r="D707" s="134">
        <f>2.225</f>
        <v>2.2250000000000001</v>
      </c>
      <c r="E707" s="118">
        <f>1.4</f>
        <v>1.4</v>
      </c>
      <c r="F707" s="72">
        <v>3.1</v>
      </c>
      <c r="G707" s="31">
        <v>7.25</v>
      </c>
      <c r="H707" s="117">
        <v>20.3</v>
      </c>
      <c r="I707" s="29"/>
      <c r="J707" s="117">
        <v>10.15</v>
      </c>
      <c r="L707" s="117">
        <f>H707-(I707+J707+K707)</f>
        <v>10.15</v>
      </c>
      <c r="M707" s="72">
        <f t="shared" si="19"/>
        <v>0</v>
      </c>
      <c r="O707" s="117"/>
    </row>
    <row r="708" spans="1:15">
      <c r="A708" s="28" t="s">
        <v>306</v>
      </c>
      <c r="B708" s="175"/>
      <c r="C708" s="28" t="s">
        <v>291</v>
      </c>
      <c r="D708" s="31">
        <f>6.35</f>
        <v>6.35</v>
      </c>
      <c r="E708" s="124">
        <f>2.925</f>
        <v>2.9249999999999998</v>
      </c>
      <c r="F708" s="72">
        <v>14.75</v>
      </c>
      <c r="G708" s="31">
        <v>18.55</v>
      </c>
      <c r="H708" s="31">
        <v>51.94</v>
      </c>
      <c r="I708" s="31">
        <v>8.19</v>
      </c>
      <c r="J708" s="31">
        <v>35.56</v>
      </c>
      <c r="K708" s="114">
        <f>H708-(I708+J708)</f>
        <v>8.1899999999999977</v>
      </c>
      <c r="L708" s="115"/>
      <c r="M708" s="72">
        <f t="shared" si="19"/>
        <v>0</v>
      </c>
      <c r="O708" s="72"/>
    </row>
    <row r="709" spans="1:15">
      <c r="A709" s="28" t="s">
        <v>307</v>
      </c>
      <c r="B709" s="175"/>
      <c r="C709" s="116" t="s">
        <v>163</v>
      </c>
      <c r="D709" s="134">
        <f>2.225</f>
        <v>2.2250000000000001</v>
      </c>
      <c r="E709" s="118">
        <f>1.4</f>
        <v>1.4</v>
      </c>
      <c r="F709" s="72">
        <v>3.1</v>
      </c>
      <c r="G709" s="31">
        <v>7.25</v>
      </c>
      <c r="H709" s="117">
        <v>20.3</v>
      </c>
      <c r="I709" s="29"/>
      <c r="J709" s="117">
        <v>10.15</v>
      </c>
      <c r="L709" s="117">
        <f>H709-(I709+J709+K709)</f>
        <v>10.15</v>
      </c>
      <c r="M709" s="72">
        <f t="shared" si="19"/>
        <v>0</v>
      </c>
      <c r="O709" s="117"/>
    </row>
    <row r="710" spans="1:15">
      <c r="A710" s="28" t="s">
        <v>308</v>
      </c>
      <c r="B710" s="175"/>
      <c r="C710" s="28" t="s">
        <v>291</v>
      </c>
      <c r="D710" s="31">
        <f>6.35</f>
        <v>6.35</v>
      </c>
      <c r="E710" s="124">
        <f>2.925</f>
        <v>2.9249999999999998</v>
      </c>
      <c r="F710" s="72">
        <v>14.75</v>
      </c>
      <c r="G710" s="31">
        <v>18.55</v>
      </c>
      <c r="H710" s="31">
        <v>51.94</v>
      </c>
      <c r="I710" s="31">
        <v>8.19</v>
      </c>
      <c r="J710" s="31">
        <v>35.56</v>
      </c>
      <c r="K710" s="114">
        <f>H710-(I710+J710)</f>
        <v>8.1899999999999977</v>
      </c>
      <c r="L710" s="115"/>
      <c r="M710" s="72">
        <f t="shared" si="19"/>
        <v>0</v>
      </c>
      <c r="O710" s="72"/>
    </row>
    <row r="711" spans="1:15">
      <c r="A711" s="28" t="s">
        <v>309</v>
      </c>
      <c r="B711" s="175"/>
      <c r="C711" s="116" t="s">
        <v>163</v>
      </c>
      <c r="D711" s="134">
        <f>2.225</f>
        <v>2.2250000000000001</v>
      </c>
      <c r="E711" s="118">
        <f>1.4</f>
        <v>1.4</v>
      </c>
      <c r="F711" s="72">
        <v>3.1</v>
      </c>
      <c r="G711" s="31">
        <v>7.25</v>
      </c>
      <c r="H711" s="117">
        <v>20.3</v>
      </c>
      <c r="I711" s="29"/>
      <c r="J711" s="117">
        <v>10.15</v>
      </c>
      <c r="L711" s="117">
        <f>H711-(I711+J711+K711)</f>
        <v>10.15</v>
      </c>
      <c r="M711" s="72">
        <f t="shared" si="19"/>
        <v>0</v>
      </c>
      <c r="O711" s="117"/>
    </row>
    <row r="712" spans="1:15">
      <c r="A712" s="28" t="s">
        <v>310</v>
      </c>
      <c r="B712" s="175"/>
      <c r="C712" s="28" t="s">
        <v>291</v>
      </c>
      <c r="D712" s="31">
        <f>6.35</f>
        <v>6.35</v>
      </c>
      <c r="E712" s="124">
        <f>2.925</f>
        <v>2.9249999999999998</v>
      </c>
      <c r="F712" s="72">
        <v>14.75</v>
      </c>
      <c r="G712" s="31">
        <v>18.55</v>
      </c>
      <c r="H712" s="31">
        <v>51.94</v>
      </c>
      <c r="I712" s="31">
        <v>8.19</v>
      </c>
      <c r="J712" s="31">
        <v>35.56</v>
      </c>
      <c r="K712" s="114">
        <f>H712-(I712+J712)</f>
        <v>8.1899999999999977</v>
      </c>
      <c r="L712" s="115"/>
      <c r="M712" s="72">
        <f t="shared" si="19"/>
        <v>0</v>
      </c>
      <c r="O712" s="72"/>
    </row>
    <row r="713" spans="1:15">
      <c r="A713" s="28" t="s">
        <v>311</v>
      </c>
      <c r="B713" s="175"/>
      <c r="C713" s="116" t="s">
        <v>163</v>
      </c>
      <c r="D713" s="134">
        <f>2.225</f>
        <v>2.2250000000000001</v>
      </c>
      <c r="E713" s="118">
        <f>1.4</f>
        <v>1.4</v>
      </c>
      <c r="F713" s="72">
        <v>3.1</v>
      </c>
      <c r="G713" s="31">
        <v>7.25</v>
      </c>
      <c r="H713" s="117">
        <v>20.3</v>
      </c>
      <c r="I713" s="29"/>
      <c r="J713" s="117">
        <v>10.15</v>
      </c>
      <c r="L713" s="117">
        <f>H713-(I713+J713+K713)</f>
        <v>10.15</v>
      </c>
      <c r="M713" s="72">
        <f t="shared" si="19"/>
        <v>0</v>
      </c>
      <c r="O713" s="117"/>
    </row>
    <row r="714" spans="1:15">
      <c r="A714" s="28" t="s">
        <v>312</v>
      </c>
      <c r="B714" s="167"/>
      <c r="C714" s="28" t="s">
        <v>313</v>
      </c>
      <c r="D714" s="31">
        <f>3.2</f>
        <v>3.2</v>
      </c>
      <c r="E714" s="73">
        <f>0.6</f>
        <v>0.6</v>
      </c>
      <c r="F714" s="72">
        <v>1.9</v>
      </c>
      <c r="G714" s="31">
        <v>7.6</v>
      </c>
      <c r="H714" s="31">
        <v>21.28</v>
      </c>
      <c r="I714" s="31">
        <v>1.68</v>
      </c>
      <c r="J714" s="31">
        <v>17.920000000000002</v>
      </c>
      <c r="K714" s="114">
        <f>H714-(I714+J714)</f>
        <v>1.6799999999999997</v>
      </c>
      <c r="L714" s="115"/>
      <c r="M714" s="72">
        <f t="shared" si="19"/>
        <v>0</v>
      </c>
      <c r="O714" s="72"/>
    </row>
    <row r="715" spans="1:15">
      <c r="A715" s="29"/>
      <c r="B715" s="167"/>
      <c r="C715" s="107" t="s">
        <v>314</v>
      </c>
      <c r="D715" s="29"/>
      <c r="E715" s="29"/>
      <c r="H715" s="29"/>
      <c r="I715" s="29"/>
      <c r="M715" s="72">
        <f t="shared" si="19"/>
        <v>0</v>
      </c>
    </row>
    <row r="716" spans="1:15">
      <c r="A716" s="28" t="s">
        <v>315</v>
      </c>
      <c r="B716" s="194"/>
      <c r="C716" s="116" t="s">
        <v>275</v>
      </c>
      <c r="D716" s="117">
        <f>4.32</f>
        <v>4.32</v>
      </c>
      <c r="E716" s="122">
        <f>2.825</f>
        <v>2.8250000000000002</v>
      </c>
      <c r="F716" s="31">
        <v>12.2</v>
      </c>
      <c r="G716" s="31">
        <v>14.29</v>
      </c>
      <c r="H716" s="117">
        <v>40.012</v>
      </c>
      <c r="I716" s="117" t="e">
        <f>NA()</f>
        <v>#N/A</v>
      </c>
      <c r="J716" s="117">
        <v>24.192</v>
      </c>
      <c r="K716" s="114"/>
      <c r="L716" s="117" t="e">
        <f>H716-(I716+J716+K716)</f>
        <v>#N/A</v>
      </c>
      <c r="M716" s="72" t="e">
        <f t="shared" si="19"/>
        <v>#N/A</v>
      </c>
      <c r="O716" s="72"/>
    </row>
    <row r="717" spans="1:15">
      <c r="A717" s="28" t="s">
        <v>316</v>
      </c>
      <c r="B717" s="175"/>
      <c r="C717" s="28" t="s">
        <v>282</v>
      </c>
      <c r="D717" s="73">
        <f>6.2</f>
        <v>6.2</v>
      </c>
      <c r="E717" s="73">
        <f>6</f>
        <v>6</v>
      </c>
      <c r="F717" s="72">
        <v>26</v>
      </c>
      <c r="G717" s="31">
        <v>24.4</v>
      </c>
      <c r="H717" s="31">
        <v>68.319999999999993</v>
      </c>
      <c r="I717" s="31">
        <v>16.8</v>
      </c>
      <c r="J717" s="31">
        <v>34.72</v>
      </c>
      <c r="K717" s="114">
        <f>H717-(I717+J717)</f>
        <v>16.799999999999997</v>
      </c>
      <c r="L717" s="115"/>
      <c r="M717" s="72">
        <f t="shared" si="19"/>
        <v>0</v>
      </c>
      <c r="O717" s="72"/>
    </row>
    <row r="718" spans="1:15">
      <c r="A718" s="28" t="s">
        <v>317</v>
      </c>
      <c r="B718" s="175"/>
      <c r="C718" s="116" t="s">
        <v>163</v>
      </c>
      <c r="D718" s="117">
        <f>2.85</f>
        <v>2.85</v>
      </c>
      <c r="E718" s="118">
        <f>2.2</f>
        <v>2.2000000000000002</v>
      </c>
      <c r="F718" s="72">
        <v>6.3</v>
      </c>
      <c r="G718" s="31">
        <v>10.1</v>
      </c>
      <c r="H718" s="117">
        <v>28.28</v>
      </c>
      <c r="I718" s="29"/>
      <c r="J718" s="117">
        <v>14.14</v>
      </c>
      <c r="L718" s="117">
        <f>H718-(I718+J718+K718)</f>
        <v>14.14</v>
      </c>
      <c r="M718" s="72">
        <f t="shared" si="19"/>
        <v>0</v>
      </c>
      <c r="O718" s="117"/>
    </row>
    <row r="719" spans="1:15">
      <c r="A719" s="28" t="s">
        <v>318</v>
      </c>
      <c r="B719" s="175"/>
      <c r="C719" s="28" t="s">
        <v>291</v>
      </c>
      <c r="D719" s="73">
        <f>6.2</f>
        <v>6.2</v>
      </c>
      <c r="E719" s="124">
        <f>2.925</f>
        <v>2.9249999999999998</v>
      </c>
      <c r="F719" s="72">
        <v>14.75</v>
      </c>
      <c r="G719" s="31">
        <v>18.25</v>
      </c>
      <c r="H719" s="31">
        <v>51.1</v>
      </c>
      <c r="I719" s="31">
        <v>8.19</v>
      </c>
      <c r="J719" s="31">
        <v>34.72</v>
      </c>
      <c r="K719" s="114">
        <f>H719-(I719+J719)</f>
        <v>8.1900000000000048</v>
      </c>
      <c r="L719" s="115"/>
      <c r="M719" s="72">
        <f t="shared" si="19"/>
        <v>0</v>
      </c>
      <c r="O719" s="72"/>
    </row>
    <row r="720" spans="1:15">
      <c r="A720" s="28" t="s">
        <v>319</v>
      </c>
      <c r="B720" s="175"/>
      <c r="C720" s="116" t="s">
        <v>163</v>
      </c>
      <c r="D720" s="134">
        <f>2.225</f>
        <v>2.2250000000000001</v>
      </c>
      <c r="E720" s="118">
        <f>1.4</f>
        <v>1.4</v>
      </c>
      <c r="F720" s="72">
        <v>3.1</v>
      </c>
      <c r="G720" s="31">
        <v>7.25</v>
      </c>
      <c r="H720" s="117">
        <v>20.3</v>
      </c>
      <c r="I720" s="29"/>
      <c r="J720" s="117">
        <v>10.15</v>
      </c>
      <c r="L720" s="117">
        <f>H720-(I720+J720+K720)</f>
        <v>10.15</v>
      </c>
      <c r="M720" s="72">
        <f t="shared" si="19"/>
        <v>0</v>
      </c>
      <c r="O720" s="117"/>
    </row>
    <row r="721" spans="1:15">
      <c r="A721" s="28" t="s">
        <v>320</v>
      </c>
      <c r="B721" s="175"/>
      <c r="C721" s="28" t="s">
        <v>294</v>
      </c>
      <c r="D721" s="73">
        <f>6.2</f>
        <v>6.2</v>
      </c>
      <c r="E721" s="124">
        <f>2.925</f>
        <v>2.9249999999999998</v>
      </c>
      <c r="F721" s="72">
        <v>14.75</v>
      </c>
      <c r="G721" s="31">
        <v>18.25</v>
      </c>
      <c r="H721" s="31">
        <v>51.1</v>
      </c>
      <c r="I721" s="31">
        <v>8.19</v>
      </c>
      <c r="J721" s="31">
        <v>34.72</v>
      </c>
      <c r="K721" s="114">
        <f>H721-(I721+J721)</f>
        <v>8.1900000000000048</v>
      </c>
      <c r="L721" s="115"/>
      <c r="M721" s="72">
        <f t="shared" si="19"/>
        <v>0</v>
      </c>
      <c r="O721" s="72"/>
    </row>
    <row r="722" spans="1:15">
      <c r="A722" s="28" t="s">
        <v>321</v>
      </c>
      <c r="B722" s="175"/>
      <c r="C722" s="116" t="s">
        <v>163</v>
      </c>
      <c r="D722" s="134">
        <f>2.225</f>
        <v>2.2250000000000001</v>
      </c>
      <c r="E722" s="118">
        <f>1.4</f>
        <v>1.4</v>
      </c>
      <c r="F722" s="72">
        <v>3.1</v>
      </c>
      <c r="G722" s="31">
        <v>7.25</v>
      </c>
      <c r="H722" s="117">
        <v>20.3</v>
      </c>
      <c r="I722" s="29"/>
      <c r="J722" s="117">
        <v>10.15</v>
      </c>
      <c r="L722" s="117">
        <f>H722-(I722+J722+K722)</f>
        <v>10.15</v>
      </c>
      <c r="M722" s="72">
        <f t="shared" si="19"/>
        <v>0</v>
      </c>
      <c r="O722" s="117"/>
    </row>
    <row r="723" spans="1:15">
      <c r="A723" s="28" t="s">
        <v>322</v>
      </c>
      <c r="B723" s="175"/>
      <c r="C723" s="28" t="s">
        <v>291</v>
      </c>
      <c r="D723" s="73">
        <f>6.2</f>
        <v>6.2</v>
      </c>
      <c r="E723" s="124">
        <f>2.925</f>
        <v>2.9249999999999998</v>
      </c>
      <c r="F723" s="72">
        <v>14.75</v>
      </c>
      <c r="G723" s="31">
        <v>18.25</v>
      </c>
      <c r="H723" s="31">
        <v>51.1</v>
      </c>
      <c r="I723" s="31">
        <v>8.19</v>
      </c>
      <c r="J723" s="31">
        <v>34.72</v>
      </c>
      <c r="K723" s="114">
        <f>H723-(I723+J723)</f>
        <v>8.1900000000000048</v>
      </c>
      <c r="L723" s="115"/>
      <c r="M723" s="72">
        <f t="shared" si="19"/>
        <v>0</v>
      </c>
      <c r="O723" s="72"/>
    </row>
    <row r="724" spans="1:15">
      <c r="A724" s="28" t="s">
        <v>323</v>
      </c>
      <c r="B724" s="175"/>
      <c r="C724" s="116" t="s">
        <v>163</v>
      </c>
      <c r="D724" s="134">
        <f>2.225</f>
        <v>2.2250000000000001</v>
      </c>
      <c r="E724" s="118">
        <f>1.4</f>
        <v>1.4</v>
      </c>
      <c r="F724" s="72">
        <v>3.1</v>
      </c>
      <c r="G724" s="31">
        <v>7.25</v>
      </c>
      <c r="H724" s="117">
        <v>20.3</v>
      </c>
      <c r="I724" s="29"/>
      <c r="J724" s="117">
        <v>10.15</v>
      </c>
      <c r="L724" s="117">
        <f>H724-(I724+J724+K724)</f>
        <v>10.15</v>
      </c>
      <c r="M724" s="72">
        <f t="shared" si="19"/>
        <v>0</v>
      </c>
      <c r="O724" s="117"/>
    </row>
    <row r="725" spans="1:15">
      <c r="A725" s="28" t="s">
        <v>324</v>
      </c>
      <c r="B725" s="175"/>
      <c r="C725" s="28" t="s">
        <v>294</v>
      </c>
      <c r="D725" s="73">
        <f>6.2</f>
        <v>6.2</v>
      </c>
      <c r="E725" s="124">
        <f>2.925</f>
        <v>2.9249999999999998</v>
      </c>
      <c r="F725" s="72">
        <v>14.75</v>
      </c>
      <c r="G725" s="31">
        <v>18.25</v>
      </c>
      <c r="H725" s="31">
        <v>51.1</v>
      </c>
      <c r="I725" s="31">
        <v>8.19</v>
      </c>
      <c r="J725" s="31">
        <v>34.72</v>
      </c>
      <c r="K725" s="114">
        <f>H725-(I725+J725)</f>
        <v>8.1900000000000048</v>
      </c>
      <c r="L725" s="115"/>
      <c r="M725" s="72">
        <f t="shared" si="19"/>
        <v>0</v>
      </c>
      <c r="O725" s="72"/>
    </row>
    <row r="726" spans="1:15">
      <c r="A726" s="28" t="s">
        <v>325</v>
      </c>
      <c r="B726" s="175"/>
      <c r="C726" s="116" t="s">
        <v>163</v>
      </c>
      <c r="D726" s="134">
        <f>2.225</f>
        <v>2.2250000000000001</v>
      </c>
      <c r="E726" s="118">
        <f>1.4</f>
        <v>1.4</v>
      </c>
      <c r="F726" s="72">
        <v>3.1</v>
      </c>
      <c r="G726" s="31">
        <v>7.25</v>
      </c>
      <c r="H726" s="117">
        <v>20.3</v>
      </c>
      <c r="I726" s="29"/>
      <c r="J726" s="117">
        <v>10.15</v>
      </c>
      <c r="L726" s="117">
        <f>H726-(I726+J726+K726)</f>
        <v>10.15</v>
      </c>
      <c r="M726" s="72">
        <f t="shared" si="19"/>
        <v>0</v>
      </c>
      <c r="O726" s="117"/>
    </row>
    <row r="727" spans="1:15">
      <c r="A727" s="28" t="s">
        <v>326</v>
      </c>
      <c r="B727" s="175"/>
      <c r="C727" s="28" t="s">
        <v>294</v>
      </c>
      <c r="D727" s="73">
        <f>6.2</f>
        <v>6.2</v>
      </c>
      <c r="E727" s="124">
        <f>2.925</f>
        <v>2.9249999999999998</v>
      </c>
      <c r="F727" s="72">
        <v>13.75</v>
      </c>
      <c r="G727" s="31">
        <v>18.25</v>
      </c>
      <c r="H727" s="31">
        <v>51.1</v>
      </c>
      <c r="I727" s="31">
        <v>8.19</v>
      </c>
      <c r="J727" s="31">
        <v>34.72</v>
      </c>
      <c r="K727" s="114">
        <f>H727-(I727+J727)</f>
        <v>8.1900000000000048</v>
      </c>
      <c r="L727" s="115"/>
      <c r="M727" s="72">
        <f t="shared" si="19"/>
        <v>0</v>
      </c>
      <c r="O727" s="72"/>
    </row>
    <row r="728" spans="1:15">
      <c r="A728" s="28" t="s">
        <v>327</v>
      </c>
      <c r="B728" s="175"/>
      <c r="C728" s="116" t="s">
        <v>163</v>
      </c>
      <c r="D728" s="134">
        <f>2.225</f>
        <v>2.2250000000000001</v>
      </c>
      <c r="E728" s="118">
        <f>1.4</f>
        <v>1.4</v>
      </c>
      <c r="F728" s="72">
        <v>3.1</v>
      </c>
      <c r="G728" s="31">
        <v>7.25</v>
      </c>
      <c r="H728" s="117">
        <v>20.3</v>
      </c>
      <c r="I728" s="29"/>
      <c r="J728" s="117">
        <v>10.15</v>
      </c>
      <c r="L728" s="117">
        <f>H728-(I728+J728+K728)</f>
        <v>10.15</v>
      </c>
      <c r="M728" s="72">
        <f t="shared" si="19"/>
        <v>0</v>
      </c>
      <c r="O728" s="117"/>
    </row>
    <row r="729" spans="1:15">
      <c r="A729" s="28" t="s">
        <v>328</v>
      </c>
      <c r="B729" s="175"/>
      <c r="C729" s="28" t="s">
        <v>294</v>
      </c>
      <c r="D729" s="73">
        <f>6.2</f>
        <v>6.2</v>
      </c>
      <c r="E729" s="124">
        <f>2.925</f>
        <v>2.9249999999999998</v>
      </c>
      <c r="F729" s="72">
        <v>13.75</v>
      </c>
      <c r="G729" s="31">
        <v>18.25</v>
      </c>
      <c r="H729" s="31">
        <v>51.1</v>
      </c>
      <c r="I729" s="31">
        <v>8.19</v>
      </c>
      <c r="J729" s="31">
        <v>34.72</v>
      </c>
      <c r="K729" s="114">
        <f>H729-(I729+J729)</f>
        <v>8.1900000000000048</v>
      </c>
      <c r="L729" s="115"/>
      <c r="M729" s="72">
        <f t="shared" ref="M729:M741" si="20">H729-(I729+J729+K729+L729)</f>
        <v>0</v>
      </c>
      <c r="O729" s="72"/>
    </row>
    <row r="730" spans="1:15">
      <c r="A730" s="28" t="s">
        <v>329</v>
      </c>
      <c r="B730" s="175"/>
      <c r="C730" s="116" t="s">
        <v>163</v>
      </c>
      <c r="D730" s="134">
        <f>2.225</f>
        <v>2.2250000000000001</v>
      </c>
      <c r="E730" s="118">
        <f>1.4</f>
        <v>1.4</v>
      </c>
      <c r="F730" s="72">
        <v>3.1</v>
      </c>
      <c r="G730" s="31">
        <v>7.25</v>
      </c>
      <c r="H730" s="117">
        <v>20.3</v>
      </c>
      <c r="I730" s="29"/>
      <c r="J730" s="117">
        <v>10.15</v>
      </c>
      <c r="L730" s="117">
        <f>H730-(I730+J730+K730)</f>
        <v>10.15</v>
      </c>
      <c r="M730" s="72">
        <f t="shared" si="20"/>
        <v>0</v>
      </c>
      <c r="O730" s="117"/>
    </row>
    <row r="731" spans="1:15">
      <c r="A731" s="28" t="s">
        <v>330</v>
      </c>
      <c r="B731" s="175"/>
      <c r="C731" s="28" t="s">
        <v>282</v>
      </c>
      <c r="D731" s="73">
        <f>6.2</f>
        <v>6.2</v>
      </c>
      <c r="E731" s="73">
        <f>4.5</f>
        <v>4.5</v>
      </c>
      <c r="F731" s="72">
        <v>23.9</v>
      </c>
      <c r="G731" s="31">
        <v>21.4</v>
      </c>
      <c r="H731" s="31">
        <v>59.92</v>
      </c>
      <c r="I731" s="31">
        <v>12.6</v>
      </c>
      <c r="J731" s="31">
        <v>34.72</v>
      </c>
      <c r="K731" s="114">
        <f>H731-(I731+J731)</f>
        <v>12.600000000000001</v>
      </c>
      <c r="L731" s="115"/>
      <c r="M731" s="72">
        <f t="shared" si="20"/>
        <v>0</v>
      </c>
      <c r="O731" s="72"/>
    </row>
    <row r="732" spans="1:15">
      <c r="A732" s="28" t="s">
        <v>331</v>
      </c>
      <c r="B732" s="175"/>
      <c r="C732" s="116" t="s">
        <v>163</v>
      </c>
      <c r="D732" s="134">
        <f>2.225</f>
        <v>2.2250000000000001</v>
      </c>
      <c r="E732" s="118">
        <f>1.8</f>
        <v>1.8</v>
      </c>
      <c r="F732" s="72">
        <v>4</v>
      </c>
      <c r="G732" s="31">
        <v>8.0500000000000007</v>
      </c>
      <c r="H732" s="117">
        <v>22.54</v>
      </c>
      <c r="I732" s="29"/>
      <c r="J732" s="117">
        <v>11.27</v>
      </c>
      <c r="L732" s="117">
        <f>H732-(I732+J732+K732)</f>
        <v>11.27</v>
      </c>
      <c r="M732" s="72">
        <f t="shared" si="20"/>
        <v>0</v>
      </c>
      <c r="O732" s="117"/>
    </row>
    <row r="733" spans="1:15">
      <c r="A733" s="28" t="s">
        <v>332</v>
      </c>
      <c r="B733" s="175"/>
      <c r="C733" s="28" t="s">
        <v>282</v>
      </c>
      <c r="D733" s="73">
        <f>6.2</f>
        <v>6.2</v>
      </c>
      <c r="E733" s="73">
        <f>4.5</f>
        <v>4.5</v>
      </c>
      <c r="F733" s="72">
        <v>24</v>
      </c>
      <c r="G733" s="31">
        <v>21.4</v>
      </c>
      <c r="H733" s="31">
        <v>59.92</v>
      </c>
      <c r="I733" s="31">
        <v>12.6</v>
      </c>
      <c r="J733" s="31">
        <v>34.72</v>
      </c>
      <c r="K733" s="114">
        <f>H733-(I733+J733)</f>
        <v>12.600000000000001</v>
      </c>
      <c r="L733" s="115"/>
      <c r="M733" s="72">
        <f t="shared" si="20"/>
        <v>0</v>
      </c>
      <c r="O733" s="72"/>
    </row>
    <row r="734" spans="1:15">
      <c r="A734" s="28" t="s">
        <v>333</v>
      </c>
      <c r="B734" s="175"/>
      <c r="C734" s="116" t="s">
        <v>163</v>
      </c>
      <c r="D734" s="134">
        <f>2.225</f>
        <v>2.2250000000000001</v>
      </c>
      <c r="E734" s="118">
        <f>1.8</f>
        <v>1.8</v>
      </c>
      <c r="F734" s="72">
        <v>4</v>
      </c>
      <c r="G734" s="31">
        <v>8.0500000000000007</v>
      </c>
      <c r="H734" s="117">
        <v>22.54</v>
      </c>
      <c r="I734" s="29"/>
      <c r="J734" s="117">
        <v>11.27</v>
      </c>
      <c r="L734" s="117">
        <f>H734-(I734+J734+K734)</f>
        <v>11.27</v>
      </c>
      <c r="M734" s="72">
        <f t="shared" si="20"/>
        <v>0</v>
      </c>
      <c r="O734" s="117"/>
    </row>
    <row r="735" spans="1:15">
      <c r="A735" s="28" t="s">
        <v>334</v>
      </c>
      <c r="B735" s="175"/>
      <c r="C735" s="28" t="s">
        <v>282</v>
      </c>
      <c r="D735" s="73">
        <f>6.2</f>
        <v>6.2</v>
      </c>
      <c r="E735" s="73">
        <f>4.5</f>
        <v>4.5</v>
      </c>
      <c r="F735" s="72">
        <v>24</v>
      </c>
      <c r="G735" s="31">
        <v>21.4</v>
      </c>
      <c r="H735" s="31">
        <v>59.92</v>
      </c>
      <c r="I735" s="31">
        <v>12.6</v>
      </c>
      <c r="J735" s="31">
        <v>34.72</v>
      </c>
      <c r="K735" s="114">
        <f>H735-(I735+J735)</f>
        <v>12.600000000000001</v>
      </c>
      <c r="L735" s="115"/>
      <c r="M735" s="72">
        <f t="shared" si="20"/>
        <v>0</v>
      </c>
      <c r="O735" s="72"/>
    </row>
    <row r="736" spans="1:15">
      <c r="A736" s="28" t="s">
        <v>335</v>
      </c>
      <c r="B736" s="175"/>
      <c r="C736" s="116" t="s">
        <v>163</v>
      </c>
      <c r="D736" s="134">
        <f>2.225</f>
        <v>2.2250000000000001</v>
      </c>
      <c r="E736" s="118">
        <f>1.8</f>
        <v>1.8</v>
      </c>
      <c r="F736" s="72">
        <v>4</v>
      </c>
      <c r="G736" s="31">
        <v>8.0500000000000007</v>
      </c>
      <c r="H736" s="117">
        <v>22.54</v>
      </c>
      <c r="I736" s="29"/>
      <c r="J736" s="117">
        <v>11.27</v>
      </c>
      <c r="L736" s="117">
        <f>H736-(I736+J736+K736)</f>
        <v>11.27</v>
      </c>
      <c r="M736" s="72">
        <f t="shared" si="20"/>
        <v>0</v>
      </c>
      <c r="O736" s="117"/>
    </row>
    <row r="737" spans="1:16">
      <c r="A737" s="28" t="s">
        <v>336</v>
      </c>
      <c r="B737" s="175"/>
      <c r="C737" s="28" t="s">
        <v>282</v>
      </c>
      <c r="D737" s="73">
        <f>6.2</f>
        <v>6.2</v>
      </c>
      <c r="E737" s="73">
        <f>4.5</f>
        <v>4.5</v>
      </c>
      <c r="F737" s="72">
        <v>24</v>
      </c>
      <c r="G737" s="31">
        <v>21.4</v>
      </c>
      <c r="H737" s="31">
        <v>59.92</v>
      </c>
      <c r="I737" s="31">
        <v>12.6</v>
      </c>
      <c r="J737" s="31">
        <v>34.72</v>
      </c>
      <c r="K737" s="114">
        <f>H737-(I737+J737)</f>
        <v>12.600000000000001</v>
      </c>
      <c r="L737" s="115"/>
      <c r="M737" s="72">
        <f t="shared" si="20"/>
        <v>0</v>
      </c>
      <c r="O737" s="72"/>
    </row>
    <row r="738" spans="1:16">
      <c r="A738" s="28" t="s">
        <v>337</v>
      </c>
      <c r="B738" s="175"/>
      <c r="C738" s="116" t="s">
        <v>163</v>
      </c>
      <c r="D738" s="134">
        <f>2.225</f>
        <v>2.2250000000000001</v>
      </c>
      <c r="E738" s="118">
        <f>1.8</f>
        <v>1.8</v>
      </c>
      <c r="F738" s="72">
        <v>4</v>
      </c>
      <c r="G738" s="31">
        <v>8.0500000000000007</v>
      </c>
      <c r="H738" s="117">
        <v>22.54</v>
      </c>
      <c r="I738" s="29"/>
      <c r="J738" s="117">
        <v>11.27</v>
      </c>
      <c r="L738" s="117">
        <f>H738-(I738+J738+K738)</f>
        <v>11.27</v>
      </c>
      <c r="M738" s="72">
        <f t="shared" si="20"/>
        <v>0</v>
      </c>
      <c r="O738" s="117"/>
    </row>
    <row r="739" spans="1:16">
      <c r="A739" s="28" t="s">
        <v>338</v>
      </c>
      <c r="B739" s="175"/>
      <c r="C739" s="28" t="s">
        <v>282</v>
      </c>
      <c r="D739" s="73">
        <f>6.2</f>
        <v>6.2</v>
      </c>
      <c r="E739" s="73">
        <f>4.5</f>
        <v>4.5</v>
      </c>
      <c r="F739" s="72">
        <v>24</v>
      </c>
      <c r="G739" s="31">
        <v>21.4</v>
      </c>
      <c r="H739" s="31">
        <v>59.92</v>
      </c>
      <c r="I739" s="31">
        <v>12.6</v>
      </c>
      <c r="J739" s="31">
        <v>34.72</v>
      </c>
      <c r="K739" s="114">
        <f>H739-(I739+J739)</f>
        <v>12.600000000000001</v>
      </c>
      <c r="L739" s="115"/>
      <c r="M739" s="72">
        <f t="shared" si="20"/>
        <v>0</v>
      </c>
      <c r="O739" s="72"/>
    </row>
    <row r="740" spans="1:16">
      <c r="A740" s="28" t="s">
        <v>339</v>
      </c>
      <c r="B740" s="175"/>
      <c r="C740" s="116" t="s">
        <v>163</v>
      </c>
      <c r="D740" s="134">
        <f>2.225</f>
        <v>2.2250000000000001</v>
      </c>
      <c r="E740" s="118">
        <f>1.8</f>
        <v>1.8</v>
      </c>
      <c r="F740" s="72">
        <v>4</v>
      </c>
      <c r="G740" s="31">
        <v>8.0500000000000007</v>
      </c>
      <c r="H740" s="117">
        <v>22.54</v>
      </c>
      <c r="I740" s="29"/>
      <c r="J740" s="117">
        <v>11.27</v>
      </c>
      <c r="L740" s="117">
        <f>H740-(I740+J740+K740)</f>
        <v>11.27</v>
      </c>
      <c r="M740" s="72">
        <f t="shared" si="20"/>
        <v>0</v>
      </c>
      <c r="O740" s="117"/>
    </row>
    <row r="741" spans="1:16">
      <c r="A741" s="28" t="s">
        <v>340</v>
      </c>
      <c r="B741" s="175"/>
      <c r="C741" s="116" t="s">
        <v>266</v>
      </c>
      <c r="D741" s="117">
        <f>2.85</f>
        <v>2.85</v>
      </c>
      <c r="E741" s="118">
        <f>1.35</f>
        <v>1.35</v>
      </c>
      <c r="F741" s="72">
        <v>4</v>
      </c>
      <c r="G741" s="31">
        <v>8.4</v>
      </c>
      <c r="H741" s="117">
        <v>23.52</v>
      </c>
      <c r="I741" s="29"/>
      <c r="J741" s="117">
        <v>11.76</v>
      </c>
      <c r="L741" s="117">
        <f>H741-(I741+J741+K741)</f>
        <v>11.76</v>
      </c>
      <c r="M741" s="72">
        <f t="shared" si="20"/>
        <v>0</v>
      </c>
      <c r="O741" s="117"/>
    </row>
    <row r="742" spans="1:16">
      <c r="A742" s="28" t="s">
        <v>341</v>
      </c>
      <c r="B742" s="175"/>
      <c r="C742" s="28" t="s">
        <v>342</v>
      </c>
      <c r="D742" s="31">
        <f>F742/E742</f>
        <v>1.5</v>
      </c>
      <c r="E742" s="73">
        <f>0.6</f>
        <v>0.6</v>
      </c>
      <c r="F742" s="72">
        <v>0.9</v>
      </c>
      <c r="G742" s="31">
        <v>4.2</v>
      </c>
      <c r="H742" s="31">
        <v>11.76</v>
      </c>
      <c r="I742" s="29"/>
      <c r="J742" s="31">
        <v>4.2</v>
      </c>
      <c r="K742" s="31">
        <f>H742-(I742+J742)</f>
        <v>7.56</v>
      </c>
      <c r="M742" s="72"/>
      <c r="O742" s="117"/>
    </row>
    <row r="743" spans="1:16">
      <c r="A743" s="31">
        <f>2*(D743+E743)+(D744*2+E744)+2*(D745+E745)</f>
        <v>224.9</v>
      </c>
      <c r="B743" s="175"/>
      <c r="C743" s="28" t="str">
        <f>C654</f>
        <v>2, stāva plāns AR-13</v>
      </c>
      <c r="D743" s="125">
        <f>65.9</f>
        <v>65.900000000000006</v>
      </c>
      <c r="E743" s="72">
        <f>15.55</f>
        <v>15.55</v>
      </c>
      <c r="F743" s="113">
        <v>1132.3</v>
      </c>
      <c r="G743" s="31">
        <v>1278.23</v>
      </c>
      <c r="H743" s="31">
        <v>3649.6840000000038</v>
      </c>
      <c r="I743" s="135" t="e">
        <f>NA()</f>
        <v>#N/A</v>
      </c>
      <c r="J743" s="136">
        <v>1595.568</v>
      </c>
      <c r="K743" s="136">
        <f>SUM(K656:K742)</f>
        <v>1085.6900000000005</v>
      </c>
      <c r="L743" s="137" t="e">
        <f>SUM(L656:L742)</f>
        <v>#N/A</v>
      </c>
      <c r="M743" s="72" t="e">
        <f>H743-(I743+J743+K743+L743)</f>
        <v>#N/A</v>
      </c>
      <c r="O743" s="117"/>
      <c r="P743" s="117"/>
    </row>
    <row r="744" spans="1:16">
      <c r="A744" s="31"/>
      <c r="B744" s="175"/>
      <c r="C744" s="129"/>
      <c r="D744" s="125">
        <f>25</f>
        <v>25</v>
      </c>
      <c r="E744" s="73">
        <f>12</f>
        <v>12</v>
      </c>
      <c r="F744" s="31">
        <v>1324.7449999999999</v>
      </c>
      <c r="H744" s="81"/>
      <c r="I744" s="81"/>
      <c r="J744" s="81"/>
      <c r="K744" s="109"/>
      <c r="L744" s="115"/>
      <c r="M744" s="72">
        <f>H744-(I744+J744+K744+L744)</f>
        <v>0</v>
      </c>
      <c r="O744" s="117"/>
      <c r="P744" s="117"/>
    </row>
    <row r="745" spans="1:16">
      <c r="A745" s="31"/>
      <c r="B745" s="175"/>
      <c r="D745" s="125"/>
      <c r="E745" s="73"/>
      <c r="F745" s="81">
        <v>660.8</v>
      </c>
      <c r="G745" s="81">
        <v>683.75</v>
      </c>
      <c r="H745" s="81"/>
      <c r="I745" s="81"/>
      <c r="J745" s="81"/>
      <c r="K745" s="109"/>
      <c r="L745" s="115"/>
      <c r="M745" s="72">
        <f>H745-(I745+J745+K745+L745)</f>
        <v>0</v>
      </c>
      <c r="O745" s="117"/>
      <c r="P745" s="117"/>
    </row>
    <row r="746" spans="1:16">
      <c r="A746" s="31"/>
      <c r="B746" s="175"/>
      <c r="C746" s="129"/>
      <c r="D746" s="125"/>
      <c r="E746" s="132"/>
      <c r="F746" s="72">
        <v>163.55000000000001</v>
      </c>
      <c r="G746" s="72">
        <v>290.08</v>
      </c>
      <c r="H746" s="130">
        <v>824.4639999999996</v>
      </c>
      <c r="I746" s="81"/>
      <c r="J746" s="81"/>
      <c r="K746" s="109"/>
      <c r="L746" s="115"/>
      <c r="M746" s="72"/>
      <c r="O746" s="117"/>
      <c r="P746" s="117"/>
    </row>
    <row r="747" spans="1:16">
      <c r="B747" s="175"/>
      <c r="C747" s="28" t="s">
        <v>343</v>
      </c>
      <c r="E747" s="106"/>
      <c r="F747" s="113"/>
      <c r="I747" s="138">
        <v>3</v>
      </c>
      <c r="M747" s="72"/>
      <c r="O747" s="72"/>
    </row>
    <row r="748" spans="1:16">
      <c r="A748" s="28">
        <f>1</f>
        <v>1</v>
      </c>
      <c r="B748" s="175"/>
      <c r="C748" s="28" t="s">
        <v>253</v>
      </c>
      <c r="D748" s="31">
        <f>5.2</f>
        <v>5.2</v>
      </c>
      <c r="E748" s="73">
        <f>2.75</f>
        <v>2.75</v>
      </c>
      <c r="F748" s="72">
        <v>15.9</v>
      </c>
      <c r="G748" s="31">
        <v>15.9</v>
      </c>
      <c r="H748" s="31">
        <v>47.7</v>
      </c>
      <c r="I748" s="31">
        <v>23.85</v>
      </c>
      <c r="J748" s="31">
        <v>23.85</v>
      </c>
      <c r="L748" s="115"/>
      <c r="M748" s="72">
        <f t="shared" ref="M748:M755" si="21">H748-(I748+J748+K748+L748)</f>
        <v>0</v>
      </c>
      <c r="O748" s="72"/>
    </row>
    <row r="749" spans="1:16">
      <c r="A749" s="29">
        <f>1+A748</f>
        <v>2</v>
      </c>
      <c r="B749" s="175"/>
      <c r="C749" s="28" t="s">
        <v>344</v>
      </c>
      <c r="D749" s="108">
        <f>65.9</f>
        <v>65.900000000000006</v>
      </c>
      <c r="E749" s="73">
        <f>8.5</f>
        <v>8.5</v>
      </c>
      <c r="F749" s="72">
        <v>476.7</v>
      </c>
      <c r="G749" s="31">
        <v>82.9</v>
      </c>
      <c r="H749" s="31">
        <v>248.7</v>
      </c>
      <c r="I749" s="31">
        <v>248.7</v>
      </c>
      <c r="J749" s="109"/>
      <c r="L749" s="72"/>
      <c r="M749" s="72">
        <f t="shared" si="21"/>
        <v>0</v>
      </c>
      <c r="O749" s="72"/>
    </row>
    <row r="750" spans="1:16">
      <c r="A750" s="29">
        <f>1+A749</f>
        <v>3</v>
      </c>
      <c r="B750" s="175"/>
      <c r="C750" s="28" t="s">
        <v>345</v>
      </c>
      <c r="D750" s="108">
        <f>8.175</f>
        <v>8.1750000000000007</v>
      </c>
      <c r="E750" s="73">
        <f>5</f>
        <v>5</v>
      </c>
      <c r="F750" s="72">
        <v>46.3</v>
      </c>
      <c r="G750" s="31">
        <v>26.35</v>
      </c>
      <c r="H750" s="31">
        <v>79.05</v>
      </c>
      <c r="J750" s="109"/>
      <c r="K750" s="31">
        <f>2*(D750+E750)*I$747</f>
        <v>79.050000000000011</v>
      </c>
      <c r="M750" s="72">
        <f t="shared" si="21"/>
        <v>0</v>
      </c>
      <c r="O750" s="72"/>
    </row>
    <row r="751" spans="1:16">
      <c r="A751" s="29">
        <f>1+A750</f>
        <v>4</v>
      </c>
      <c r="B751" s="175"/>
      <c r="C751" s="28" t="s">
        <v>345</v>
      </c>
      <c r="D751" s="108">
        <f>9</f>
        <v>9</v>
      </c>
      <c r="E751" s="73">
        <f>6.35</f>
        <v>6.35</v>
      </c>
      <c r="F751" s="72">
        <v>55.8</v>
      </c>
      <c r="G751" s="31">
        <v>30.7</v>
      </c>
      <c r="H751" s="31">
        <v>92.1</v>
      </c>
      <c r="I751" s="31">
        <v>27</v>
      </c>
      <c r="J751" s="109"/>
      <c r="K751" s="31">
        <f>(D751+E751+D751)*I$747</f>
        <v>73.050000000000011</v>
      </c>
      <c r="M751" s="72">
        <f t="shared" si="21"/>
        <v>-7.9500000000000171</v>
      </c>
    </row>
    <row r="752" spans="1:16">
      <c r="A752" s="29">
        <f>1+A751</f>
        <v>5</v>
      </c>
      <c r="B752" s="175"/>
      <c r="C752" s="28" t="s">
        <v>344</v>
      </c>
      <c r="D752" s="108">
        <f>65.9</f>
        <v>65.900000000000006</v>
      </c>
      <c r="E752" s="73">
        <f>6.2</f>
        <v>6.2</v>
      </c>
      <c r="F752" s="72">
        <v>336.4</v>
      </c>
      <c r="G752" s="31">
        <v>78.3</v>
      </c>
      <c r="H752" s="31">
        <v>247.2</v>
      </c>
      <c r="I752" s="31">
        <v>247.2</v>
      </c>
      <c r="J752" s="109"/>
      <c r="M752" s="72">
        <f t="shared" si="21"/>
        <v>0</v>
      </c>
    </row>
    <row r="753" spans="1:16">
      <c r="A753" s="29">
        <f>1+A752</f>
        <v>6</v>
      </c>
      <c r="B753" s="175"/>
      <c r="C753" s="28" t="s">
        <v>345</v>
      </c>
      <c r="D753" s="31">
        <f>9.45</f>
        <v>9.4499999999999993</v>
      </c>
      <c r="E753" s="73">
        <f>4.9</f>
        <v>4.9000000000000004</v>
      </c>
      <c r="F753" s="72">
        <v>43.9</v>
      </c>
      <c r="G753" s="31">
        <v>28.7</v>
      </c>
      <c r="H753" s="31">
        <v>86.1</v>
      </c>
      <c r="I753" s="31">
        <v>14.7</v>
      </c>
      <c r="J753" s="109"/>
      <c r="K753" s="31">
        <f>(D753+E753+D753)*I$747</f>
        <v>71.399999999999991</v>
      </c>
      <c r="M753" s="72">
        <f t="shared" si="21"/>
        <v>0</v>
      </c>
      <c r="O753" s="72"/>
    </row>
    <row r="754" spans="1:16">
      <c r="A754" s="31">
        <f>2*(D754+E754)+(D755*2+E755)+2*(D756+E756)</f>
        <v>224.9</v>
      </c>
      <c r="B754" s="175"/>
      <c r="C754" s="139" t="str">
        <f>C747</f>
        <v>Bēninu stāva plāns AR-14</v>
      </c>
      <c r="D754" s="125">
        <f>65.9</f>
        <v>65.900000000000006</v>
      </c>
      <c r="E754" s="72">
        <f>15.55</f>
        <v>15.55</v>
      </c>
      <c r="F754" s="31">
        <v>975</v>
      </c>
      <c r="G754" s="31">
        <v>800.85</v>
      </c>
      <c r="H754" s="31">
        <v>564.45000000000005</v>
      </c>
      <c r="I754" s="136">
        <v>564.45000000000005</v>
      </c>
      <c r="J754" s="140">
        <v>23.85</v>
      </c>
      <c r="K754" s="141">
        <f>SUM(K747:K753)</f>
        <v>223.5</v>
      </c>
      <c r="L754" s="117">
        <f>SUM(L747:L753)</f>
        <v>0</v>
      </c>
      <c r="M754" s="72">
        <f t="shared" si="21"/>
        <v>-247.35000000000002</v>
      </c>
      <c r="O754" s="117"/>
    </row>
    <row r="755" spans="1:16">
      <c r="A755" s="70"/>
      <c r="B755" s="175"/>
      <c r="C755" s="70" t="s">
        <v>346</v>
      </c>
      <c r="D755" s="125">
        <f>25</f>
        <v>25</v>
      </c>
      <c r="E755" s="73">
        <f>12</f>
        <v>12</v>
      </c>
      <c r="F755" s="72">
        <v>3366.65</v>
      </c>
      <c r="G755" s="72">
        <v>3303.2212767425808</v>
      </c>
      <c r="H755" s="72" t="e">
        <f>NA()</f>
        <v>#N/A</v>
      </c>
      <c r="I755" s="142" t="e">
        <f>NA()</f>
        <v>#N/A</v>
      </c>
      <c r="J755" s="143" t="e">
        <f>NA()</f>
        <v>#N/A</v>
      </c>
      <c r="K755" s="144" t="e">
        <f>K647+K743+K754</f>
        <v>#N/A</v>
      </c>
      <c r="L755" s="145" t="e">
        <f>L647+L743+L754</f>
        <v>#N/A</v>
      </c>
      <c r="M755" s="72" t="e">
        <f t="shared" si="21"/>
        <v>#N/A</v>
      </c>
      <c r="O755" s="130"/>
      <c r="P755" s="106"/>
    </row>
    <row r="756" spans="1:16">
      <c r="A756" s="70"/>
      <c r="B756" s="175"/>
      <c r="D756" s="71"/>
      <c r="E756" s="72"/>
      <c r="F756" s="81"/>
      <c r="G756" s="81"/>
      <c r="H756" s="72" t="e">
        <f>NA()</f>
        <v>#N/A</v>
      </c>
      <c r="I756" s="146" t="e">
        <f>NA()</f>
        <v>#N/A</v>
      </c>
      <c r="J756" s="147"/>
      <c r="L756" s="147"/>
    </row>
    <row r="757" spans="1:16">
      <c r="A757" s="98"/>
      <c r="B757" s="175"/>
      <c r="I757" s="148">
        <v>2127.9499999999998</v>
      </c>
      <c r="L757" s="31" t="e">
        <f>J755+I756</f>
        <v>#N/A</v>
      </c>
    </row>
    <row r="758" spans="1:16">
      <c r="A758" s="29"/>
      <c r="B758" s="175"/>
      <c r="D758" s="29"/>
      <c r="E758" s="29"/>
    </row>
    <row r="759" spans="1:16">
      <c r="A759" s="29"/>
      <c r="B759" s="175"/>
      <c r="D759" s="29"/>
      <c r="E759" s="29"/>
    </row>
    <row r="760" spans="1:16">
      <c r="A760" s="29"/>
      <c r="B760" s="175"/>
      <c r="D760" s="29"/>
      <c r="E760" s="29"/>
    </row>
    <row r="761" spans="1:16">
      <c r="A761" s="29"/>
      <c r="B761" s="175"/>
      <c r="D761" s="29"/>
      <c r="E761" s="29"/>
    </row>
    <row r="762" spans="1:16">
      <c r="A762" s="29"/>
      <c r="B762" s="175"/>
      <c r="D762" s="29"/>
      <c r="E762" s="29"/>
    </row>
    <row r="763" spans="1:16">
      <c r="A763" s="29"/>
      <c r="B763" s="175"/>
      <c r="D763" s="29"/>
      <c r="E763" s="29"/>
    </row>
    <row r="764" spans="1:16">
      <c r="A764" s="29"/>
      <c r="B764" s="175"/>
      <c r="D764" s="29"/>
      <c r="E764" s="29"/>
    </row>
    <row r="765" spans="1:16">
      <c r="A765" s="29"/>
      <c r="B765" s="175"/>
      <c r="D765" s="29"/>
      <c r="E765" s="29"/>
    </row>
    <row r="766" spans="1:16">
      <c r="A766" s="29"/>
      <c r="B766" s="175"/>
      <c r="D766" s="29"/>
      <c r="E766" s="29"/>
    </row>
    <row r="767" spans="1:16">
      <c r="A767" s="29"/>
      <c r="B767" s="175"/>
      <c r="D767" s="29"/>
      <c r="E767" s="29"/>
    </row>
    <row r="768" spans="1:16">
      <c r="A768" s="29"/>
      <c r="B768" s="175"/>
      <c r="D768" s="29"/>
      <c r="E768" s="29"/>
    </row>
    <row r="769" spans="1:5">
      <c r="A769" s="29"/>
      <c r="B769" s="175"/>
      <c r="D769" s="29"/>
      <c r="E769" s="29"/>
    </row>
    <row r="770" spans="1:5">
      <c r="A770" s="29"/>
      <c r="B770" s="175"/>
      <c r="D770" s="29"/>
      <c r="E770" s="29"/>
    </row>
    <row r="771" spans="1:5">
      <c r="A771" s="29"/>
      <c r="B771" s="175"/>
      <c r="D771" s="29"/>
      <c r="E771" s="29"/>
    </row>
    <row r="772" spans="1:5">
      <c r="A772" s="29"/>
      <c r="B772" s="175"/>
      <c r="D772" s="29"/>
      <c r="E772" s="29"/>
    </row>
    <row r="773" spans="1:5">
      <c r="A773" s="29"/>
      <c r="B773" s="175"/>
      <c r="D773" s="29"/>
      <c r="E773" s="29"/>
    </row>
    <row r="774" spans="1:5">
      <c r="A774" s="29"/>
      <c r="B774" s="175"/>
      <c r="D774" s="29"/>
      <c r="E774" s="29"/>
    </row>
    <row r="775" spans="1:5">
      <c r="A775" s="29"/>
      <c r="B775" s="175"/>
      <c r="D775" s="29"/>
      <c r="E775" s="29"/>
    </row>
    <row r="776" spans="1:5">
      <c r="A776" s="29"/>
      <c r="B776" s="175"/>
      <c r="D776" s="29"/>
      <c r="E776" s="29"/>
    </row>
    <row r="777" spans="1:5">
      <c r="A777" s="29"/>
      <c r="B777" s="175"/>
      <c r="D777" s="29"/>
      <c r="E777" s="29"/>
    </row>
    <row r="778" spans="1:5">
      <c r="A778" s="29"/>
      <c r="B778" s="175"/>
      <c r="D778" s="29"/>
      <c r="E778" s="29"/>
    </row>
    <row r="779" spans="1:5">
      <c r="A779" s="29"/>
      <c r="B779" s="175"/>
      <c r="D779" s="29"/>
      <c r="E779" s="29"/>
    </row>
    <row r="780" spans="1:5">
      <c r="A780" s="29"/>
      <c r="B780" s="175"/>
      <c r="D780" s="29"/>
      <c r="E780" s="29"/>
    </row>
    <row r="781" spans="1:5">
      <c r="A781" s="29"/>
      <c r="B781" s="175"/>
      <c r="D781" s="29"/>
      <c r="E781" s="29"/>
    </row>
    <row r="782" spans="1:5">
      <c r="A782" s="29"/>
      <c r="B782" s="175"/>
      <c r="D782" s="29"/>
      <c r="E782" s="29"/>
    </row>
    <row r="783" spans="1:5">
      <c r="A783" s="29"/>
      <c r="B783" s="175"/>
      <c r="D783" s="29"/>
      <c r="E783" s="29"/>
    </row>
    <row r="784" spans="1:5">
      <c r="A784" s="29"/>
      <c r="B784" s="175"/>
      <c r="D784" s="29"/>
      <c r="E784" s="29"/>
    </row>
    <row r="785" spans="1:5">
      <c r="A785" s="29"/>
      <c r="B785" s="175"/>
      <c r="D785" s="29"/>
      <c r="E785" s="29"/>
    </row>
    <row r="786" spans="1:5">
      <c r="A786" s="29"/>
      <c r="B786" s="175"/>
      <c r="D786" s="29"/>
      <c r="E786" s="29"/>
    </row>
    <row r="787" spans="1:5">
      <c r="A787" s="29"/>
      <c r="B787" s="175"/>
      <c r="D787" s="29"/>
      <c r="E787" s="29"/>
    </row>
    <row r="788" spans="1:5">
      <c r="A788" s="29"/>
      <c r="B788" s="175"/>
      <c r="D788" s="29"/>
      <c r="E788" s="29"/>
    </row>
    <row r="789" spans="1:5">
      <c r="A789" s="29"/>
      <c r="B789" s="175"/>
      <c r="D789" s="29"/>
      <c r="E789" s="29"/>
    </row>
    <row r="790" spans="1:5">
      <c r="A790" s="29"/>
      <c r="B790" s="175"/>
      <c r="D790" s="29"/>
      <c r="E790" s="29"/>
    </row>
    <row r="791" spans="1:5">
      <c r="A791" s="29"/>
      <c r="B791" s="175"/>
      <c r="D791" s="29"/>
      <c r="E791" s="29"/>
    </row>
    <row r="792" spans="1:5">
      <c r="A792" s="29"/>
      <c r="B792" s="175"/>
      <c r="D792" s="29"/>
      <c r="E792" s="29"/>
    </row>
    <row r="793" spans="1:5">
      <c r="A793" s="29"/>
      <c r="B793" s="175"/>
      <c r="D793" s="29"/>
      <c r="E793" s="29"/>
    </row>
    <row r="794" spans="1:5">
      <c r="A794" s="29"/>
      <c r="B794" s="175"/>
      <c r="D794" s="29"/>
      <c r="E794" s="29"/>
    </row>
    <row r="795" spans="1:5">
      <c r="A795" s="29"/>
      <c r="B795" s="175"/>
      <c r="D795" s="29"/>
      <c r="E795" s="29"/>
    </row>
    <row r="796" spans="1:5">
      <c r="A796" s="29"/>
      <c r="B796" s="175"/>
      <c r="D796" s="29"/>
      <c r="E796" s="29"/>
    </row>
    <row r="797" spans="1:5">
      <c r="A797" s="29"/>
      <c r="B797" s="175"/>
      <c r="D797" s="29"/>
      <c r="E797" s="29"/>
    </row>
    <row r="798" spans="1:5">
      <c r="A798" s="29"/>
      <c r="B798" s="175"/>
      <c r="D798" s="29"/>
      <c r="E798" s="29"/>
    </row>
    <row r="799" spans="1:5">
      <c r="A799" s="29"/>
      <c r="B799" s="175"/>
      <c r="D799" s="29"/>
      <c r="E799" s="29"/>
    </row>
    <row r="800" spans="1:5">
      <c r="A800" s="29"/>
      <c r="B800" s="175"/>
      <c r="D800" s="29"/>
      <c r="E800" s="29"/>
    </row>
    <row r="801" spans="1:5">
      <c r="A801" s="29"/>
      <c r="B801" s="175"/>
      <c r="D801" s="29"/>
      <c r="E801" s="29"/>
    </row>
    <row r="802" spans="1:5">
      <c r="A802" s="29"/>
      <c r="B802" s="175"/>
      <c r="D802" s="29"/>
      <c r="E802" s="29"/>
    </row>
    <row r="803" spans="1:5">
      <c r="A803" s="29"/>
      <c r="B803" s="175"/>
      <c r="D803" s="29"/>
      <c r="E803" s="29"/>
    </row>
    <row r="804" spans="1:5">
      <c r="A804" s="29"/>
      <c r="B804" s="175"/>
      <c r="D804" s="29"/>
      <c r="E804" s="29"/>
    </row>
    <row r="805" spans="1:5">
      <c r="A805" s="29"/>
      <c r="B805" s="175"/>
      <c r="D805" s="29"/>
      <c r="E805" s="29"/>
    </row>
    <row r="806" spans="1:5">
      <c r="A806" s="29"/>
      <c r="B806" s="175"/>
      <c r="D806" s="29"/>
      <c r="E806" s="29"/>
    </row>
    <row r="807" spans="1:5">
      <c r="A807" s="29"/>
      <c r="B807" s="175"/>
      <c r="D807" s="29"/>
      <c r="E807" s="29"/>
    </row>
    <row r="808" spans="1:5">
      <c r="A808" s="29"/>
      <c r="B808" s="175"/>
      <c r="D808" s="29"/>
      <c r="E808" s="29"/>
    </row>
    <row r="809" spans="1:5">
      <c r="A809" s="29"/>
      <c r="B809" s="175"/>
      <c r="D809" s="29"/>
      <c r="E809" s="29"/>
    </row>
    <row r="810" spans="1:5">
      <c r="A810" s="29"/>
      <c r="B810" s="175"/>
      <c r="D810" s="29"/>
      <c r="E810" s="29"/>
    </row>
    <row r="811" spans="1:5">
      <c r="A811" s="29"/>
      <c r="B811" s="175"/>
      <c r="D811" s="29"/>
      <c r="E811" s="29"/>
    </row>
    <row r="812" spans="1:5">
      <c r="A812" s="29"/>
      <c r="B812" s="175"/>
      <c r="D812" s="29"/>
      <c r="E812" s="29"/>
    </row>
    <row r="813" spans="1:5">
      <c r="A813" s="29"/>
      <c r="B813" s="175"/>
      <c r="D813" s="29"/>
      <c r="E813" s="29"/>
    </row>
    <row r="814" spans="1:5">
      <c r="A814" s="29"/>
      <c r="B814" s="175"/>
      <c r="D814" s="29"/>
      <c r="E814" s="29"/>
    </row>
    <row r="815" spans="1:5">
      <c r="A815" s="29"/>
      <c r="B815" s="175"/>
      <c r="D815" s="29"/>
      <c r="E815" s="29"/>
    </row>
    <row r="816" spans="1:5">
      <c r="A816" s="29"/>
      <c r="B816" s="175"/>
      <c r="D816" s="29"/>
      <c r="E816" s="29"/>
    </row>
    <row r="817" spans="1:5">
      <c r="A817" s="29"/>
      <c r="B817" s="175"/>
      <c r="D817" s="29"/>
      <c r="E817" s="29"/>
    </row>
    <row r="818" spans="1:5">
      <c r="A818" s="29"/>
      <c r="B818" s="175"/>
      <c r="D818" s="29"/>
      <c r="E818" s="29"/>
    </row>
    <row r="819" spans="1:5">
      <c r="A819" s="29"/>
      <c r="B819" s="175"/>
      <c r="D819" s="29"/>
      <c r="E819" s="29"/>
    </row>
    <row r="820" spans="1:5">
      <c r="A820" s="29"/>
      <c r="B820" s="175"/>
      <c r="D820" s="29"/>
      <c r="E820" s="29"/>
    </row>
    <row r="821" spans="1:5">
      <c r="A821" s="29"/>
      <c r="B821" s="175"/>
      <c r="D821" s="29"/>
      <c r="E821" s="29"/>
    </row>
    <row r="822" spans="1:5">
      <c r="A822" s="29"/>
      <c r="B822" s="175"/>
      <c r="D822" s="29"/>
      <c r="E822" s="29"/>
    </row>
    <row r="823" spans="1:5">
      <c r="A823" s="29"/>
      <c r="B823" s="175"/>
      <c r="D823" s="29"/>
      <c r="E823" s="29"/>
    </row>
    <row r="824" spans="1:5">
      <c r="A824" s="29"/>
      <c r="B824" s="175"/>
      <c r="D824" s="29"/>
      <c r="E824" s="29"/>
    </row>
    <row r="825" spans="1:5">
      <c r="A825" s="29"/>
      <c r="B825" s="175"/>
      <c r="D825" s="29"/>
      <c r="E825" s="29"/>
    </row>
    <row r="826" spans="1:5">
      <c r="A826" s="29"/>
      <c r="B826" s="175"/>
      <c r="D826" s="29"/>
      <c r="E826" s="29"/>
    </row>
    <row r="827" spans="1:5">
      <c r="A827" s="29"/>
      <c r="B827" s="175"/>
      <c r="D827" s="29"/>
      <c r="E827" s="29"/>
    </row>
    <row r="828" spans="1:5">
      <c r="A828" s="29"/>
      <c r="B828" s="175"/>
      <c r="D828" s="29"/>
      <c r="E828" s="29"/>
    </row>
    <row r="829" spans="1:5">
      <c r="A829" s="29"/>
      <c r="B829" s="175"/>
      <c r="D829" s="29"/>
      <c r="E829" s="29"/>
    </row>
    <row r="830" spans="1:5">
      <c r="A830" s="29"/>
      <c r="B830" s="175"/>
      <c r="D830" s="29"/>
      <c r="E830" s="29"/>
    </row>
    <row r="831" spans="1:5">
      <c r="A831" s="29"/>
      <c r="B831" s="175"/>
      <c r="D831" s="29"/>
      <c r="E831" s="29"/>
    </row>
    <row r="832" spans="1:5">
      <c r="A832" s="29"/>
      <c r="B832" s="175"/>
      <c r="D832" s="29"/>
      <c r="E832" s="29"/>
    </row>
    <row r="833" spans="1:5">
      <c r="A833" s="29"/>
      <c r="B833" s="175"/>
      <c r="D833" s="29"/>
      <c r="E833" s="29"/>
    </row>
    <row r="834" spans="1:5">
      <c r="A834" s="29"/>
      <c r="B834" s="175"/>
      <c r="D834" s="29"/>
      <c r="E834" s="29"/>
    </row>
    <row r="835" spans="1:5">
      <c r="A835" s="29"/>
      <c r="B835" s="175"/>
      <c r="D835" s="29"/>
      <c r="E835" s="29"/>
    </row>
    <row r="836" spans="1:5">
      <c r="A836" s="29"/>
      <c r="B836" s="175"/>
      <c r="D836" s="29"/>
      <c r="E836" s="29"/>
    </row>
    <row r="837" spans="1:5">
      <c r="A837" s="29"/>
      <c r="B837" s="175"/>
      <c r="D837" s="29"/>
      <c r="E837" s="29"/>
    </row>
    <row r="838" spans="1:5">
      <c r="A838" s="29"/>
      <c r="B838" s="175"/>
      <c r="D838" s="29"/>
      <c r="E838" s="29"/>
    </row>
    <row r="839" spans="1:5">
      <c r="A839" s="29"/>
      <c r="B839" s="175"/>
      <c r="D839" s="29"/>
      <c r="E839" s="29"/>
    </row>
    <row r="840" spans="1:5">
      <c r="A840" s="29"/>
      <c r="B840" s="196"/>
      <c r="D840" s="29"/>
      <c r="E840" s="29"/>
    </row>
    <row r="841" spans="1:5">
      <c r="A841" s="29"/>
      <c r="D841" s="29"/>
      <c r="E841" s="29"/>
    </row>
    <row r="842" spans="1:5">
      <c r="A842" s="29"/>
      <c r="D842" s="29"/>
      <c r="E842" s="29"/>
    </row>
    <row r="843" spans="1:5">
      <c r="A843" s="29"/>
      <c r="D843" s="29"/>
      <c r="E843" s="29"/>
    </row>
    <row r="844" spans="1:5">
      <c r="A844" s="29"/>
      <c r="D844" s="29"/>
      <c r="E844" s="29"/>
    </row>
    <row r="845" spans="1:5">
      <c r="A845" s="29"/>
      <c r="D845" s="29"/>
      <c r="E845" s="29"/>
    </row>
    <row r="846" spans="1:5">
      <c r="A846" s="29"/>
      <c r="D846" s="29"/>
      <c r="E846" s="29"/>
    </row>
    <row r="847" spans="1:5">
      <c r="A847" s="29"/>
      <c r="D847" s="29"/>
      <c r="E847" s="29"/>
    </row>
    <row r="848" spans="1:5">
      <c r="A848" s="29"/>
      <c r="D848" s="29"/>
      <c r="E848" s="29"/>
    </row>
    <row r="849" spans="1:5">
      <c r="A849" s="29"/>
      <c r="D849" s="29"/>
      <c r="E849" s="29"/>
    </row>
    <row r="850" spans="1:5">
      <c r="A850" s="29"/>
      <c r="D850" s="29"/>
      <c r="E850" s="29"/>
    </row>
    <row r="851" spans="1:5">
      <c r="A851" s="29"/>
      <c r="D851" s="29"/>
      <c r="E851" s="29"/>
    </row>
    <row r="852" spans="1:5">
      <c r="A852" s="29"/>
      <c r="D852" s="29"/>
      <c r="E852" s="29"/>
    </row>
    <row r="853" spans="1:5">
      <c r="A853" s="29"/>
      <c r="D853" s="29"/>
      <c r="E853" s="29"/>
    </row>
    <row r="854" spans="1:5">
      <c r="A854" s="29"/>
      <c r="D854" s="29"/>
      <c r="E854" s="29"/>
    </row>
    <row r="855" spans="1:5">
      <c r="A855" s="29"/>
      <c r="D855" s="29"/>
      <c r="E855" s="29"/>
    </row>
    <row r="856" spans="1:5">
      <c r="A856" s="29"/>
      <c r="D856" s="29"/>
      <c r="E856" s="29"/>
    </row>
    <row r="857" spans="1:5">
      <c r="A857" s="29"/>
      <c r="D857" s="29"/>
      <c r="E857" s="29"/>
    </row>
    <row r="858" spans="1:5">
      <c r="A858" s="29"/>
      <c r="D858" s="29"/>
      <c r="E858" s="29"/>
    </row>
    <row r="859" spans="1:5">
      <c r="A859" s="29"/>
      <c r="D859" s="29"/>
      <c r="E859" s="29"/>
    </row>
    <row r="860" spans="1:5">
      <c r="A860" s="29"/>
      <c r="D860" s="29"/>
      <c r="E860" s="29"/>
    </row>
    <row r="861" spans="1:5">
      <c r="A861" s="29"/>
      <c r="D861" s="29"/>
      <c r="E861" s="29"/>
    </row>
    <row r="862" spans="1:5">
      <c r="A862" s="29"/>
      <c r="D862" s="29"/>
      <c r="E862" s="29"/>
    </row>
    <row r="863" spans="1:5">
      <c r="A863" s="29"/>
      <c r="D863" s="29"/>
      <c r="E863" s="29"/>
    </row>
    <row r="864" spans="1:5">
      <c r="A864" s="29"/>
      <c r="D864" s="29"/>
      <c r="E864" s="29"/>
    </row>
    <row r="865" spans="1:5">
      <c r="A865" s="29"/>
      <c r="D865" s="29"/>
      <c r="E865" s="29"/>
    </row>
    <row r="866" spans="1:5">
      <c r="A866" s="29"/>
      <c r="D866" s="29"/>
      <c r="E866" s="29"/>
    </row>
    <row r="867" spans="1:5">
      <c r="A867" s="29"/>
      <c r="D867" s="29"/>
      <c r="E867" s="29"/>
    </row>
    <row r="868" spans="1:5">
      <c r="A868" s="29"/>
      <c r="D868" s="29"/>
      <c r="E868" s="29"/>
    </row>
    <row r="869" spans="1:5">
      <c r="A869" s="29"/>
      <c r="D869" s="29"/>
      <c r="E869" s="29"/>
    </row>
    <row r="870" spans="1:5">
      <c r="A870" s="29"/>
      <c r="D870" s="29"/>
      <c r="E870" s="29"/>
    </row>
    <row r="871" spans="1:5">
      <c r="A871" s="29"/>
      <c r="D871" s="29"/>
      <c r="E871" s="29"/>
    </row>
    <row r="872" spans="1:5">
      <c r="A872" s="29"/>
      <c r="D872" s="29"/>
      <c r="E872" s="29"/>
    </row>
    <row r="873" spans="1:5">
      <c r="A873" s="29"/>
      <c r="D873" s="29"/>
      <c r="E873" s="29"/>
    </row>
    <row r="874" spans="1:5">
      <c r="A874" s="29"/>
      <c r="D874" s="29"/>
      <c r="E874" s="29"/>
    </row>
    <row r="875" spans="1:5">
      <c r="A875" s="29"/>
      <c r="D875" s="29"/>
      <c r="E875" s="29"/>
    </row>
    <row r="876" spans="1:5">
      <c r="A876" s="29"/>
      <c r="D876" s="29"/>
      <c r="E876" s="29"/>
    </row>
    <row r="877" spans="1:5">
      <c r="A877" s="29"/>
      <c r="D877" s="29"/>
      <c r="E877" s="29"/>
    </row>
    <row r="878" spans="1:5">
      <c r="A878" s="29"/>
      <c r="D878" s="29"/>
      <c r="E878" s="29"/>
    </row>
    <row r="879" spans="1:5">
      <c r="A879" s="29"/>
      <c r="D879" s="29"/>
      <c r="E879" s="29"/>
    </row>
    <row r="880" spans="1:5">
      <c r="A880" s="29"/>
      <c r="D880" s="29"/>
      <c r="E880" s="29"/>
    </row>
    <row r="881" spans="1:5">
      <c r="A881" s="121"/>
      <c r="C881" s="96"/>
      <c r="D881" s="71"/>
      <c r="E881" s="150"/>
    </row>
  </sheetData>
  <sheetProtection selectLockedCells="1" selectUnlockedCells="1"/>
  <mergeCells count="19">
    <mergeCell ref="C26:G26"/>
    <mergeCell ref="K26:P26"/>
    <mergeCell ref="I28:J28"/>
    <mergeCell ref="F10:K10"/>
    <mergeCell ref="L10:P10"/>
    <mergeCell ref="C19:K19"/>
    <mergeCell ref="C20:K20"/>
    <mergeCell ref="A25:B25"/>
    <mergeCell ref="I25:J25"/>
    <mergeCell ref="A1:P1"/>
    <mergeCell ref="A2:P2"/>
    <mergeCell ref="M8:N8"/>
    <mergeCell ref="O8:P8"/>
    <mergeCell ref="G9:H9"/>
    <mergeCell ref="A10:A11"/>
    <mergeCell ref="B10:B11"/>
    <mergeCell ref="C10:C11"/>
    <mergeCell ref="D10:D11"/>
    <mergeCell ref="E10:E11"/>
  </mergeCells>
  <printOptions horizontalCentered="1"/>
  <pageMargins left="0.39370078740157483" right="0.39370078740157483" top="1.1811023622047245" bottom="0.78740157480314965" header="0.51181102362204722" footer="0.19685039370078741"/>
  <pageSetup paperSize="9" scale="71" fitToHeight="2" orientation="landscape" useFirstPageNumber="1" horizontalDpi="300" verticalDpi="300" r:id="rId1"/>
  <headerFooter alignWithMargins="0"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20"/>
  <sheetViews>
    <sheetView tabSelected="1" topLeftCell="A52" zoomScale="68" zoomScaleNormal="68" workbookViewId="0">
      <selection activeCell="L57" sqref="L57:P59"/>
    </sheetView>
  </sheetViews>
  <sheetFormatPr defaultColWidth="33.296875" defaultRowHeight="12.75"/>
  <cols>
    <col min="1" max="1" width="4.296875" style="28" customWidth="1"/>
    <col min="2" max="2" width="10.8984375" style="154" customWidth="1"/>
    <col min="3" max="3" width="28.59765625" style="29" customWidth="1"/>
    <col min="4" max="4" width="5.59765625" style="30" customWidth="1"/>
    <col min="5" max="5" width="9.59765625" style="28" customWidth="1"/>
    <col min="6" max="6" width="6.59765625" style="29" customWidth="1"/>
    <col min="7" max="7" width="6.8984375" style="29" customWidth="1"/>
    <col min="8" max="8" width="8.296875" style="31" bestFit="1" customWidth="1"/>
    <col min="9" max="9" width="7.3984375" style="31" customWidth="1"/>
    <col min="10" max="10" width="7" style="29" customWidth="1"/>
    <col min="11" max="11" width="9.8984375" style="29" customWidth="1"/>
    <col min="12" max="12" width="10.19921875" style="29" customWidth="1"/>
    <col min="13" max="13" width="10.3984375" style="29" customWidth="1"/>
    <col min="14" max="14" width="10.796875" style="29" customWidth="1"/>
    <col min="15" max="15" width="10.296875" style="29" customWidth="1"/>
    <col min="16" max="16" width="9.5" style="29" customWidth="1"/>
    <col min="17" max="33" width="10.19921875" style="29" customWidth="1"/>
    <col min="34" max="16384" width="33.296875" style="29"/>
  </cols>
  <sheetData>
    <row r="1" spans="1:17" ht="20.100000000000001" customHeight="1">
      <c r="A1" s="269" t="s">
        <v>404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</row>
    <row r="2" spans="1:17" ht="20.100000000000001" customHeight="1">
      <c r="A2" s="270" t="s">
        <v>422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</row>
    <row r="3" spans="1:17" ht="19.5" customHeight="1">
      <c r="A3" s="32"/>
      <c r="B3" s="32"/>
      <c r="C3" s="240"/>
      <c r="D3" s="239"/>
      <c r="E3" s="239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</row>
    <row r="4" spans="1:17" ht="20.100000000000001" customHeight="1">
      <c r="A4" s="32"/>
      <c r="B4" s="32"/>
      <c r="C4" s="240"/>
      <c r="D4" s="239"/>
      <c r="E4" s="239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</row>
    <row r="5" spans="1:17" ht="20.100000000000001" customHeight="1">
      <c r="A5" s="32" t="str">
        <f>KA_1!A4:H4</f>
        <v>Objekta nosaukums un adrese: Skvēru un piegulošās teritorijas labiekārtojums, 1.kārta,  Rīgas ielā 101 un 103, Līvānos</v>
      </c>
      <c r="B5" s="32"/>
      <c r="C5" s="240"/>
      <c r="D5" s="239"/>
      <c r="E5" s="239"/>
      <c r="F5" s="35"/>
      <c r="G5" s="35"/>
      <c r="H5" s="35"/>
      <c r="I5" s="35"/>
      <c r="J5" s="35"/>
      <c r="M5" s="36"/>
      <c r="N5" s="35"/>
      <c r="O5" s="35"/>
      <c r="P5" s="35"/>
    </row>
    <row r="6" spans="1:17" ht="20.100000000000001" customHeight="1">
      <c r="A6" s="32" t="str">
        <f>KA_1!A5:H5</f>
        <v>Pasūtījuma Nr.:             16-02</v>
      </c>
      <c r="B6" s="32"/>
      <c r="C6" s="240"/>
      <c r="D6" s="239"/>
      <c r="E6" s="239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7" ht="20.100000000000001" customHeight="1">
      <c r="A7" s="32" t="s">
        <v>412</v>
      </c>
      <c r="B7" s="32"/>
      <c r="C7" s="240"/>
      <c r="D7" s="239"/>
      <c r="E7" s="239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</row>
    <row r="8" spans="1:17" ht="20.100000000000001" customHeight="1">
      <c r="A8" s="32"/>
      <c r="B8" s="37"/>
      <c r="C8" s="240"/>
      <c r="D8" s="239"/>
      <c r="E8" s="29"/>
      <c r="F8" s="35"/>
      <c r="G8" s="35"/>
      <c r="H8" s="35"/>
      <c r="I8" s="35"/>
      <c r="J8" s="35"/>
      <c r="K8" s="38"/>
      <c r="L8" s="35"/>
      <c r="M8" s="271" t="s">
        <v>394</v>
      </c>
      <c r="N8" s="271"/>
      <c r="O8" s="272">
        <f>P59</f>
        <v>0</v>
      </c>
      <c r="P8" s="272"/>
    </row>
    <row r="9" spans="1:17" ht="15" customHeight="1">
      <c r="A9" s="155"/>
      <c r="B9" s="155"/>
      <c r="C9" s="151"/>
      <c r="D9" s="156"/>
      <c r="E9" s="157"/>
      <c r="F9" s="158"/>
      <c r="G9" s="281"/>
      <c r="H9" s="281"/>
      <c r="I9" s="158"/>
      <c r="J9" s="158"/>
      <c r="K9" s="157"/>
      <c r="L9" s="242"/>
      <c r="M9" s="157"/>
      <c r="N9" s="158"/>
      <c r="O9" s="158"/>
      <c r="P9" s="158"/>
    </row>
    <row r="10" spans="1:17" ht="20.100000000000001" customHeight="1">
      <c r="A10" s="274" t="s">
        <v>4</v>
      </c>
      <c r="B10" s="274" t="s">
        <v>23</v>
      </c>
      <c r="C10" s="275" t="s">
        <v>24</v>
      </c>
      <c r="D10" s="274" t="s">
        <v>25</v>
      </c>
      <c r="E10" s="274" t="s">
        <v>411</v>
      </c>
      <c r="F10" s="278" t="s">
        <v>26</v>
      </c>
      <c r="G10" s="278"/>
      <c r="H10" s="278"/>
      <c r="I10" s="278"/>
      <c r="J10" s="278"/>
      <c r="K10" s="278"/>
      <c r="L10" s="278" t="s">
        <v>27</v>
      </c>
      <c r="M10" s="278"/>
      <c r="N10" s="278"/>
      <c r="O10" s="278"/>
      <c r="P10" s="278"/>
    </row>
    <row r="11" spans="1:17" ht="99.95" customHeight="1">
      <c r="A11" s="274"/>
      <c r="B11" s="274"/>
      <c r="C11" s="275"/>
      <c r="D11" s="274"/>
      <c r="E11" s="274"/>
      <c r="F11" s="241" t="s">
        <v>28</v>
      </c>
      <c r="G11" s="241" t="s">
        <v>388</v>
      </c>
      <c r="H11" s="241" t="s">
        <v>389</v>
      </c>
      <c r="I11" s="241" t="s">
        <v>390</v>
      </c>
      <c r="J11" s="241" t="s">
        <v>391</v>
      </c>
      <c r="K11" s="241" t="s">
        <v>392</v>
      </c>
      <c r="L11" s="241" t="s">
        <v>29</v>
      </c>
      <c r="M11" s="241" t="s">
        <v>389</v>
      </c>
      <c r="N11" s="241" t="s">
        <v>390</v>
      </c>
      <c r="O11" s="241" t="s">
        <v>391</v>
      </c>
      <c r="P11" s="241" t="s">
        <v>393</v>
      </c>
      <c r="Q11" s="28"/>
    </row>
    <row r="12" spans="1:17" s="63" customFormat="1" ht="50.1" customHeight="1">
      <c r="A12" s="198"/>
      <c r="B12" s="199"/>
      <c r="C12" s="236" t="s">
        <v>359</v>
      </c>
      <c r="D12" s="200"/>
      <c r="E12" s="201"/>
      <c r="F12" s="160"/>
      <c r="G12" s="160"/>
      <c r="H12" s="202"/>
      <c r="I12" s="203"/>
      <c r="J12" s="203"/>
      <c r="K12" s="203"/>
      <c r="L12" s="204"/>
      <c r="M12" s="203"/>
      <c r="N12" s="203"/>
      <c r="O12" s="203"/>
      <c r="P12" s="203"/>
    </row>
    <row r="13" spans="1:17" s="63" customFormat="1" ht="50.1" customHeight="1">
      <c r="A13" s="40">
        <v>1</v>
      </c>
      <c r="B13" s="205" t="s">
        <v>360</v>
      </c>
      <c r="C13" s="42" t="s">
        <v>425</v>
      </c>
      <c r="D13" s="43" t="s">
        <v>30</v>
      </c>
      <c r="E13" s="44">
        <v>1430</v>
      </c>
      <c r="F13" s="45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214"/>
    </row>
    <row r="14" spans="1:17" s="63" customFormat="1" ht="50.1" customHeight="1">
      <c r="A14" s="40">
        <v>2</v>
      </c>
      <c r="B14" s="205" t="s">
        <v>456</v>
      </c>
      <c r="C14" s="42" t="s">
        <v>457</v>
      </c>
      <c r="D14" s="43" t="s">
        <v>348</v>
      </c>
      <c r="E14" s="44">
        <v>291.60000000000002</v>
      </c>
      <c r="F14" s="45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214"/>
    </row>
    <row r="15" spans="1:17" s="63" customFormat="1" ht="50.1" customHeight="1">
      <c r="A15" s="40">
        <v>3</v>
      </c>
      <c r="B15" s="205" t="s">
        <v>361</v>
      </c>
      <c r="C15" s="42" t="s">
        <v>444</v>
      </c>
      <c r="D15" s="43" t="s">
        <v>348</v>
      </c>
      <c r="E15" s="44">
        <v>51</v>
      </c>
      <c r="F15" s="45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214"/>
    </row>
    <row r="16" spans="1:17" s="63" customFormat="1" ht="50.1" customHeight="1">
      <c r="A16" s="206"/>
      <c r="B16" s="199"/>
      <c r="C16" s="236" t="s">
        <v>426</v>
      </c>
      <c r="D16" s="200"/>
      <c r="E16" s="44"/>
      <c r="F16" s="160"/>
      <c r="G16" s="46"/>
      <c r="H16" s="202"/>
      <c r="I16" s="46"/>
      <c r="J16" s="46"/>
      <c r="K16" s="203"/>
      <c r="L16" s="46"/>
      <c r="M16" s="46"/>
      <c r="N16" s="46"/>
      <c r="O16" s="46"/>
      <c r="P16" s="203"/>
      <c r="Q16" s="214"/>
    </row>
    <row r="17" spans="1:17" s="63" customFormat="1" ht="78" customHeight="1">
      <c r="A17" s="40">
        <v>1</v>
      </c>
      <c r="B17" s="205" t="s">
        <v>472</v>
      </c>
      <c r="C17" s="42" t="s">
        <v>458</v>
      </c>
      <c r="D17" s="43" t="s">
        <v>30</v>
      </c>
      <c r="E17" s="44">
        <v>154</v>
      </c>
      <c r="F17" s="45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214"/>
    </row>
    <row r="18" spans="1:17" s="63" customFormat="1" ht="50.1" customHeight="1">
      <c r="A18" s="40">
        <v>2</v>
      </c>
      <c r="B18" s="205" t="s">
        <v>362</v>
      </c>
      <c r="C18" s="42" t="s">
        <v>500</v>
      </c>
      <c r="D18" s="43" t="s">
        <v>347</v>
      </c>
      <c r="E18" s="44">
        <v>15.4</v>
      </c>
      <c r="F18" s="45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214"/>
    </row>
    <row r="19" spans="1:17" s="63" customFormat="1" ht="50.1" customHeight="1">
      <c r="A19" s="40">
        <v>3</v>
      </c>
      <c r="B19" s="205" t="s">
        <v>363</v>
      </c>
      <c r="C19" s="42" t="s">
        <v>427</v>
      </c>
      <c r="D19" s="43" t="s">
        <v>30</v>
      </c>
      <c r="E19" s="44">
        <v>197</v>
      </c>
      <c r="F19" s="45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215"/>
    </row>
    <row r="20" spans="1:17" s="63" customFormat="1" ht="50.1" customHeight="1">
      <c r="A20" s="40">
        <v>4</v>
      </c>
      <c r="B20" s="205" t="s">
        <v>364</v>
      </c>
      <c r="C20" s="42" t="s">
        <v>428</v>
      </c>
      <c r="D20" s="43" t="s">
        <v>30</v>
      </c>
      <c r="E20" s="44">
        <v>1232</v>
      </c>
      <c r="F20" s="45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215"/>
    </row>
    <row r="21" spans="1:17" s="63" customFormat="1" ht="50.1" customHeight="1">
      <c r="A21" s="40"/>
      <c r="B21" s="205"/>
      <c r="C21" s="236" t="s">
        <v>434</v>
      </c>
      <c r="D21" s="43"/>
      <c r="E21" s="44"/>
      <c r="F21" s="45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214"/>
    </row>
    <row r="22" spans="1:17" s="63" customFormat="1" ht="50.1" customHeight="1">
      <c r="A22" s="40">
        <v>1</v>
      </c>
      <c r="B22" s="205" t="s">
        <v>365</v>
      </c>
      <c r="C22" s="42" t="s">
        <v>429</v>
      </c>
      <c r="D22" s="43" t="s">
        <v>347</v>
      </c>
      <c r="E22" s="44">
        <f>(E24+E25+E26+E27)*0.2</f>
        <v>72.600000000000009</v>
      </c>
      <c r="F22" s="45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214"/>
    </row>
    <row r="23" spans="1:17" s="63" customFormat="1" ht="50.1" customHeight="1">
      <c r="A23" s="40">
        <v>2</v>
      </c>
      <c r="B23" s="205" t="s">
        <v>473</v>
      </c>
      <c r="C23" s="42" t="s">
        <v>438</v>
      </c>
      <c r="D23" s="43" t="s">
        <v>347</v>
      </c>
      <c r="E23" s="44">
        <f>E27*0.03+(E24+E25+E26)*0.05</f>
        <v>16.77</v>
      </c>
      <c r="F23" s="45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214"/>
    </row>
    <row r="24" spans="1:17" s="63" customFormat="1" ht="50.1" customHeight="1">
      <c r="A24" s="40">
        <v>3</v>
      </c>
      <c r="B24" s="205" t="s">
        <v>366</v>
      </c>
      <c r="C24" s="42" t="s">
        <v>435</v>
      </c>
      <c r="D24" s="43" t="s">
        <v>369</v>
      </c>
      <c r="E24" s="44">
        <v>247</v>
      </c>
      <c r="F24" s="45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214"/>
    </row>
    <row r="25" spans="1:17" s="63" customFormat="1" ht="50.1" customHeight="1">
      <c r="A25" s="40">
        <v>4</v>
      </c>
      <c r="B25" s="205" t="s">
        <v>367</v>
      </c>
      <c r="C25" s="42" t="s">
        <v>437</v>
      </c>
      <c r="D25" s="43" t="s">
        <v>369</v>
      </c>
      <c r="E25" s="44">
        <v>12</v>
      </c>
      <c r="F25" s="45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214"/>
    </row>
    <row r="26" spans="1:17" s="63" customFormat="1" ht="50.1" customHeight="1">
      <c r="A26" s="40">
        <v>5</v>
      </c>
      <c r="B26" s="205" t="s">
        <v>368</v>
      </c>
      <c r="C26" s="42" t="s">
        <v>459</v>
      </c>
      <c r="D26" s="43" t="s">
        <v>369</v>
      </c>
      <c r="E26" s="44">
        <v>35</v>
      </c>
      <c r="F26" s="45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214"/>
    </row>
    <row r="27" spans="1:17" s="63" customFormat="1" ht="50.1" customHeight="1">
      <c r="A27" s="40">
        <v>6</v>
      </c>
      <c r="B27" s="205" t="s">
        <v>370</v>
      </c>
      <c r="C27" s="42" t="s">
        <v>436</v>
      </c>
      <c r="D27" s="43" t="s">
        <v>348</v>
      </c>
      <c r="E27" s="44">
        <v>69</v>
      </c>
      <c r="F27" s="45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214"/>
    </row>
    <row r="28" spans="1:17" s="63" customFormat="1" ht="50.1" customHeight="1">
      <c r="A28" s="40"/>
      <c r="B28" s="205"/>
      <c r="C28" s="236" t="s">
        <v>430</v>
      </c>
      <c r="D28" s="43"/>
      <c r="E28" s="44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214"/>
    </row>
    <row r="29" spans="1:17" s="63" customFormat="1" ht="54" customHeight="1">
      <c r="A29" s="40">
        <v>1</v>
      </c>
      <c r="B29" s="205" t="s">
        <v>371</v>
      </c>
      <c r="C29" s="42" t="s">
        <v>442</v>
      </c>
      <c r="D29" s="43" t="s">
        <v>30</v>
      </c>
      <c r="E29" s="44">
        <f>197+E36+E35</f>
        <v>276.3</v>
      </c>
      <c r="F29" s="45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214"/>
    </row>
    <row r="30" spans="1:17" s="63" customFormat="1" ht="54" customHeight="1">
      <c r="A30" s="40">
        <v>2</v>
      </c>
      <c r="B30" s="205" t="s">
        <v>372</v>
      </c>
      <c r="C30" s="42" t="s">
        <v>439</v>
      </c>
      <c r="D30" s="43" t="s">
        <v>30</v>
      </c>
      <c r="E30" s="44">
        <f>197+E36</f>
        <v>264.3</v>
      </c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214"/>
    </row>
    <row r="31" spans="1:17" s="63" customFormat="1" ht="54" customHeight="1">
      <c r="A31" s="40">
        <v>3</v>
      </c>
      <c r="B31" s="205" t="s">
        <v>373</v>
      </c>
      <c r="C31" s="42" t="s">
        <v>502</v>
      </c>
      <c r="D31" s="43" t="s">
        <v>30</v>
      </c>
      <c r="E31" s="44">
        <v>264.3</v>
      </c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214"/>
    </row>
    <row r="32" spans="1:17" s="63" customFormat="1" ht="75">
      <c r="A32" s="40">
        <v>4</v>
      </c>
      <c r="B32" s="205" t="s">
        <v>374</v>
      </c>
      <c r="C32" s="42" t="s">
        <v>460</v>
      </c>
      <c r="D32" s="43" t="s">
        <v>30</v>
      </c>
      <c r="E32" s="44">
        <v>98.4</v>
      </c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214"/>
    </row>
    <row r="33" spans="1:17" s="63" customFormat="1" ht="78.75" customHeight="1">
      <c r="A33" s="40">
        <v>5</v>
      </c>
      <c r="B33" s="205" t="s">
        <v>375</v>
      </c>
      <c r="C33" s="42" t="s">
        <v>461</v>
      </c>
      <c r="D33" s="43" t="s">
        <v>30</v>
      </c>
      <c r="E33" s="44">
        <v>78.7</v>
      </c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214"/>
    </row>
    <row r="34" spans="1:17" s="63" customFormat="1" ht="75">
      <c r="A34" s="40">
        <v>6</v>
      </c>
      <c r="B34" s="205" t="s">
        <v>376</v>
      </c>
      <c r="C34" s="42" t="s">
        <v>462</v>
      </c>
      <c r="D34" s="43" t="s">
        <v>30</v>
      </c>
      <c r="E34" s="44">
        <v>19.7</v>
      </c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214"/>
    </row>
    <row r="35" spans="1:17" s="63" customFormat="1" ht="44.25" customHeight="1">
      <c r="A35" s="40">
        <v>7</v>
      </c>
      <c r="B35" s="205" t="s">
        <v>377</v>
      </c>
      <c r="C35" s="42" t="s">
        <v>463</v>
      </c>
      <c r="D35" s="43" t="s">
        <v>30</v>
      </c>
      <c r="E35" s="44">
        <v>12</v>
      </c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214"/>
    </row>
    <row r="36" spans="1:17" s="63" customFormat="1" ht="54" customHeight="1">
      <c r="A36" s="40">
        <v>8</v>
      </c>
      <c r="B36" s="205" t="s">
        <v>474</v>
      </c>
      <c r="C36" s="42" t="s">
        <v>432</v>
      </c>
      <c r="D36" s="43" t="s">
        <v>30</v>
      </c>
      <c r="E36" s="44">
        <v>67.3</v>
      </c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214"/>
    </row>
    <row r="37" spans="1:17" s="63" customFormat="1" ht="50.1" customHeight="1">
      <c r="A37" s="40"/>
      <c r="B37" s="205"/>
      <c r="C37" s="237" t="s">
        <v>431</v>
      </c>
      <c r="D37" s="43"/>
      <c r="E37" s="44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214"/>
    </row>
    <row r="38" spans="1:17" s="63" customFormat="1" ht="50.1" customHeight="1">
      <c r="A38" s="40">
        <v>1</v>
      </c>
      <c r="B38" s="205" t="s">
        <v>378</v>
      </c>
      <c r="C38" s="42" t="s">
        <v>442</v>
      </c>
      <c r="D38" s="43" t="s">
        <v>30</v>
      </c>
      <c r="E38" s="44">
        <v>1232</v>
      </c>
      <c r="F38" s="45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214"/>
    </row>
    <row r="39" spans="1:17" s="63" customFormat="1" ht="50.1" customHeight="1">
      <c r="A39" s="40">
        <v>2</v>
      </c>
      <c r="B39" s="205" t="s">
        <v>379</v>
      </c>
      <c r="C39" s="42" t="s">
        <v>440</v>
      </c>
      <c r="D39" s="43" t="s">
        <v>30</v>
      </c>
      <c r="E39" s="44">
        <v>1232</v>
      </c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214"/>
    </row>
    <row r="40" spans="1:17" s="63" customFormat="1" ht="50.1" customHeight="1">
      <c r="A40" s="40">
        <v>3</v>
      </c>
      <c r="B40" s="205" t="s">
        <v>380</v>
      </c>
      <c r="C40" s="42" t="s">
        <v>441</v>
      </c>
      <c r="D40" s="43" t="s">
        <v>30</v>
      </c>
      <c r="E40" s="44">
        <v>1232</v>
      </c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214"/>
    </row>
    <row r="41" spans="1:17" s="63" customFormat="1" ht="50.1" customHeight="1">
      <c r="A41" s="40">
        <v>4</v>
      </c>
      <c r="B41" s="205" t="s">
        <v>381</v>
      </c>
      <c r="C41" s="42" t="s">
        <v>502</v>
      </c>
      <c r="D41" s="43" t="s">
        <v>30</v>
      </c>
      <c r="E41" s="44">
        <v>1232</v>
      </c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214"/>
    </row>
    <row r="42" spans="1:17" s="63" customFormat="1" ht="75">
      <c r="A42" s="40">
        <v>5</v>
      </c>
      <c r="B42" s="205" t="s">
        <v>382</v>
      </c>
      <c r="C42" s="42" t="s">
        <v>464</v>
      </c>
      <c r="D42" s="43" t="s">
        <v>30</v>
      </c>
      <c r="E42" s="44">
        <v>913</v>
      </c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214"/>
    </row>
    <row r="43" spans="1:17" s="63" customFormat="1" ht="81.75" customHeight="1">
      <c r="A43" s="40">
        <v>6</v>
      </c>
      <c r="B43" s="205" t="s">
        <v>475</v>
      </c>
      <c r="C43" s="42" t="s">
        <v>465</v>
      </c>
      <c r="D43" s="43" t="s">
        <v>30</v>
      </c>
      <c r="E43" s="44">
        <v>320</v>
      </c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214"/>
    </row>
    <row r="44" spans="1:17" s="63" customFormat="1" ht="50.1" customHeight="1">
      <c r="A44" s="198"/>
      <c r="B44" s="199"/>
      <c r="C44" s="237" t="s">
        <v>446</v>
      </c>
      <c r="D44" s="200"/>
      <c r="E44" s="44"/>
      <c r="F44" s="160"/>
      <c r="G44" s="46"/>
      <c r="H44" s="202"/>
      <c r="I44" s="46"/>
      <c r="J44" s="46"/>
      <c r="K44" s="203"/>
      <c r="L44" s="46"/>
      <c r="M44" s="46"/>
      <c r="N44" s="46"/>
      <c r="O44" s="46"/>
      <c r="P44" s="162"/>
      <c r="Q44" s="214"/>
    </row>
    <row r="45" spans="1:17" s="63" customFormat="1" ht="60">
      <c r="A45" s="40">
        <v>1</v>
      </c>
      <c r="B45" s="205" t="s">
        <v>476</v>
      </c>
      <c r="C45" s="42" t="s">
        <v>455</v>
      </c>
      <c r="D45" s="43" t="s">
        <v>30</v>
      </c>
      <c r="E45" s="44">
        <v>1023.6</v>
      </c>
      <c r="F45" s="45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214"/>
    </row>
    <row r="46" spans="1:17" s="63" customFormat="1" ht="50.1" customHeight="1">
      <c r="A46" s="40">
        <v>2</v>
      </c>
      <c r="B46" s="205" t="s">
        <v>477</v>
      </c>
      <c r="C46" s="42" t="s">
        <v>443</v>
      </c>
      <c r="D46" s="43" t="s">
        <v>36</v>
      </c>
      <c r="E46" s="44">
        <v>210</v>
      </c>
      <c r="F46" s="45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214"/>
    </row>
    <row r="47" spans="1:17" s="63" customFormat="1" ht="50.1" customHeight="1">
      <c r="A47" s="40">
        <v>3</v>
      </c>
      <c r="B47" s="205" t="s">
        <v>478</v>
      </c>
      <c r="C47" s="42" t="s">
        <v>449</v>
      </c>
      <c r="D47" s="43" t="s">
        <v>36</v>
      </c>
      <c r="E47" s="44">
        <v>44</v>
      </c>
      <c r="F47" s="45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214"/>
    </row>
    <row r="48" spans="1:17" s="63" customFormat="1" ht="50.1" customHeight="1">
      <c r="A48" s="40">
        <v>4</v>
      </c>
      <c r="B48" s="205" t="s">
        <v>479</v>
      </c>
      <c r="C48" s="42" t="s">
        <v>448</v>
      </c>
      <c r="D48" s="43" t="s">
        <v>36</v>
      </c>
      <c r="E48" s="44">
        <v>16</v>
      </c>
      <c r="F48" s="45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214"/>
    </row>
    <row r="49" spans="1:17" s="63" customFormat="1" ht="50.1" customHeight="1">
      <c r="A49" s="40">
        <v>5</v>
      </c>
      <c r="B49" s="205" t="s">
        <v>480</v>
      </c>
      <c r="C49" s="42" t="s">
        <v>450</v>
      </c>
      <c r="D49" s="43" t="s">
        <v>36</v>
      </c>
      <c r="E49" s="44">
        <v>72</v>
      </c>
      <c r="F49" s="45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214"/>
    </row>
    <row r="50" spans="1:17" s="63" customFormat="1" ht="50.1" customHeight="1">
      <c r="A50" s="40">
        <v>6</v>
      </c>
      <c r="B50" s="205" t="s">
        <v>481</v>
      </c>
      <c r="C50" s="42" t="s">
        <v>452</v>
      </c>
      <c r="D50" s="43" t="s">
        <v>36</v>
      </c>
      <c r="E50" s="44">
        <v>36</v>
      </c>
      <c r="F50" s="45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214"/>
    </row>
    <row r="51" spans="1:17" s="63" customFormat="1" ht="50.1" customHeight="1">
      <c r="A51" s="40">
        <v>7</v>
      </c>
      <c r="B51" s="205" t="s">
        <v>482</v>
      </c>
      <c r="C51" s="42" t="s">
        <v>451</v>
      </c>
      <c r="D51" s="43" t="s">
        <v>36</v>
      </c>
      <c r="E51" s="44">
        <v>32</v>
      </c>
      <c r="F51" s="45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214"/>
    </row>
    <row r="52" spans="1:17" s="63" customFormat="1" ht="50.1" customHeight="1">
      <c r="A52" s="40">
        <v>8</v>
      </c>
      <c r="B52" s="205" t="s">
        <v>483</v>
      </c>
      <c r="C52" s="42" t="s">
        <v>447</v>
      </c>
      <c r="D52" s="43" t="s">
        <v>36</v>
      </c>
      <c r="E52" s="44">
        <v>16</v>
      </c>
      <c r="F52" s="45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214"/>
    </row>
    <row r="53" spans="1:17" s="63" customFormat="1" ht="50.1" customHeight="1">
      <c r="A53" s="40">
        <v>9</v>
      </c>
      <c r="B53" s="205" t="s">
        <v>484</v>
      </c>
      <c r="C53" s="42" t="s">
        <v>454</v>
      </c>
      <c r="D53" s="43" t="s">
        <v>30</v>
      </c>
      <c r="E53" s="44">
        <v>93</v>
      </c>
      <c r="F53" s="45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214"/>
    </row>
    <row r="54" spans="1:17" s="63" customFormat="1" ht="50.1" customHeight="1">
      <c r="A54" s="40">
        <v>10</v>
      </c>
      <c r="B54" s="205" t="s">
        <v>485</v>
      </c>
      <c r="C54" s="42" t="s">
        <v>453</v>
      </c>
      <c r="D54" s="43" t="s">
        <v>30</v>
      </c>
      <c r="E54" s="44">
        <v>93</v>
      </c>
      <c r="F54" s="45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214"/>
    </row>
    <row r="55" spans="1:17" s="63" customFormat="1" ht="50.1" customHeight="1">
      <c r="A55" s="40"/>
      <c r="B55" s="205"/>
      <c r="C55" s="237" t="s">
        <v>445</v>
      </c>
      <c r="D55" s="43"/>
      <c r="E55" s="44"/>
      <c r="F55" s="45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214"/>
    </row>
    <row r="56" spans="1:17" s="63" customFormat="1" ht="69.75" customHeight="1">
      <c r="A56" s="40">
        <v>1</v>
      </c>
      <c r="B56" s="205" t="s">
        <v>486</v>
      </c>
      <c r="C56" s="42" t="s">
        <v>433</v>
      </c>
      <c r="D56" s="43" t="s">
        <v>36</v>
      </c>
      <c r="E56" s="44">
        <v>10</v>
      </c>
      <c r="F56" s="45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214"/>
    </row>
    <row r="57" spans="1:17" s="63" customFormat="1" ht="50.1" customHeight="1">
      <c r="A57" s="152"/>
      <c r="B57" s="207"/>
      <c r="C57" s="243" t="s">
        <v>6</v>
      </c>
      <c r="D57" s="243"/>
      <c r="E57" s="243"/>
      <c r="F57" s="243"/>
      <c r="G57" s="243"/>
      <c r="H57" s="243"/>
      <c r="I57" s="243"/>
      <c r="J57" s="243"/>
      <c r="K57" s="243"/>
      <c r="L57" s="54"/>
      <c r="M57" s="54"/>
      <c r="N57" s="54"/>
      <c r="O57" s="54"/>
      <c r="P57" s="54"/>
      <c r="Q57" s="164"/>
    </row>
    <row r="58" spans="1:17" s="63" customFormat="1" ht="50.1" customHeight="1">
      <c r="A58" s="153"/>
      <c r="B58" s="208"/>
      <c r="C58" s="282" t="s">
        <v>54</v>
      </c>
      <c r="D58" s="282"/>
      <c r="E58" s="282"/>
      <c r="F58" s="282"/>
      <c r="G58" s="282"/>
      <c r="H58" s="282"/>
      <c r="I58" s="282"/>
      <c r="J58" s="282"/>
      <c r="K58" s="282"/>
      <c r="L58" s="216"/>
      <c r="M58" s="217"/>
      <c r="N58" s="57"/>
      <c r="O58" s="57"/>
      <c r="P58" s="58"/>
    </row>
    <row r="59" spans="1:17" s="63" customFormat="1" ht="50.1" customHeight="1">
      <c r="A59" s="153"/>
      <c r="B59" s="208"/>
      <c r="C59" s="283" t="s">
        <v>55</v>
      </c>
      <c r="D59" s="283"/>
      <c r="E59" s="283"/>
      <c r="F59" s="283"/>
      <c r="G59" s="283"/>
      <c r="H59" s="283"/>
      <c r="I59" s="283"/>
      <c r="J59" s="283"/>
      <c r="K59" s="283"/>
      <c r="L59" s="59"/>
      <c r="M59" s="59"/>
      <c r="N59" s="59"/>
      <c r="O59" s="59"/>
      <c r="P59" s="59"/>
      <c r="Q59" s="166"/>
    </row>
    <row r="60" spans="1:17" s="63" customFormat="1" ht="26.25" customHeight="1">
      <c r="A60" s="60"/>
      <c r="B60" s="60"/>
      <c r="C60" s="247"/>
      <c r="D60" s="247"/>
      <c r="E60" s="247"/>
      <c r="F60" s="247"/>
      <c r="G60" s="247"/>
      <c r="H60" s="247"/>
      <c r="I60" s="247"/>
      <c r="J60" s="247"/>
      <c r="K60" s="247"/>
      <c r="L60" s="248"/>
      <c r="M60" s="248"/>
      <c r="N60" s="248"/>
      <c r="O60" s="248"/>
      <c r="P60" s="248"/>
      <c r="Q60" s="166"/>
    </row>
    <row r="61" spans="1:17" ht="15">
      <c r="A61" s="70"/>
      <c r="B61" s="249" t="s">
        <v>503</v>
      </c>
      <c r="C61" s="70"/>
      <c r="D61" s="71"/>
      <c r="E61" s="72"/>
      <c r="F61" s="72"/>
      <c r="G61" s="72"/>
      <c r="H61" s="29"/>
      <c r="I61" s="29"/>
      <c r="J61" s="72"/>
      <c r="K61" s="72"/>
      <c r="L61" s="72"/>
      <c r="M61" s="72"/>
      <c r="N61" s="72"/>
      <c r="O61" s="72"/>
      <c r="P61" s="72"/>
    </row>
    <row r="62" spans="1:17">
      <c r="A62" s="70"/>
      <c r="B62" s="167"/>
      <c r="C62" s="70"/>
      <c r="D62" s="71"/>
      <c r="E62" s="72"/>
      <c r="F62" s="72"/>
      <c r="G62" s="72"/>
      <c r="H62" s="29"/>
      <c r="I62" s="29"/>
      <c r="J62" s="72"/>
      <c r="K62" s="72"/>
      <c r="L62" s="72"/>
      <c r="M62" s="72"/>
      <c r="N62" s="72"/>
      <c r="O62" s="72"/>
      <c r="P62" s="72"/>
    </row>
    <row r="63" spans="1:17">
      <c r="A63" s="70"/>
      <c r="B63" s="167"/>
      <c r="C63" s="70"/>
      <c r="D63" s="71"/>
      <c r="E63" s="72"/>
      <c r="F63" s="72"/>
      <c r="G63" s="72"/>
      <c r="H63" s="29"/>
      <c r="I63" s="29"/>
      <c r="J63" s="72"/>
      <c r="K63" s="72"/>
      <c r="L63" s="72"/>
      <c r="M63" s="72"/>
      <c r="N63" s="72"/>
      <c r="O63" s="72"/>
      <c r="P63" s="72"/>
    </row>
    <row r="64" spans="1:17" s="63" customFormat="1" ht="15" customHeight="1">
      <c r="A64" s="267" t="s">
        <v>9</v>
      </c>
      <c r="B64" s="267"/>
      <c r="C64" s="65"/>
      <c r="E64" s="66"/>
      <c r="F64" s="67"/>
      <c r="G64" s="67"/>
      <c r="H64" s="68"/>
      <c r="I64" s="268" t="s">
        <v>56</v>
      </c>
      <c r="J64" s="268"/>
      <c r="K64" s="67"/>
      <c r="L64" s="67"/>
      <c r="M64" s="67"/>
      <c r="N64" s="66"/>
      <c r="O64" s="67"/>
      <c r="P64" s="67"/>
    </row>
    <row r="65" spans="1:16" s="63" customFormat="1" ht="15">
      <c r="A65" s="238"/>
      <c r="B65" s="238"/>
      <c r="C65" s="276" t="s">
        <v>10</v>
      </c>
      <c r="D65" s="276"/>
      <c r="E65" s="276"/>
      <c r="F65" s="276"/>
      <c r="G65" s="276"/>
      <c r="I65" s="239"/>
      <c r="J65" s="239"/>
      <c r="K65" s="277" t="s">
        <v>10</v>
      </c>
      <c r="L65" s="277"/>
      <c r="M65" s="277"/>
      <c r="N65" s="277"/>
      <c r="O65" s="277"/>
      <c r="P65" s="277"/>
    </row>
    <row r="66" spans="1:16" s="63" customFormat="1" ht="15">
      <c r="A66" s="238"/>
      <c r="B66" s="238"/>
      <c r="C66" s="238"/>
      <c r="D66" s="61"/>
      <c r="E66" s="62"/>
      <c r="F66" s="62"/>
      <c r="G66" s="62"/>
      <c r="J66" s="62"/>
      <c r="K66" s="62"/>
      <c r="L66" s="62"/>
      <c r="M66" s="62"/>
      <c r="N66" s="62"/>
      <c r="O66" s="62"/>
      <c r="P66" s="62"/>
    </row>
    <row r="67" spans="1:16" s="63" customFormat="1" ht="15">
      <c r="D67" s="69"/>
      <c r="E67" s="62"/>
      <c r="F67" s="62"/>
      <c r="G67" s="62"/>
      <c r="I67" s="267" t="s">
        <v>11</v>
      </c>
      <c r="J67" s="267"/>
      <c r="K67" s="65"/>
      <c r="L67" s="62"/>
      <c r="M67" s="62"/>
      <c r="N67" s="62"/>
      <c r="O67" s="62"/>
      <c r="P67" s="62"/>
    </row>
    <row r="68" spans="1:16">
      <c r="A68" s="70"/>
      <c r="B68" s="167"/>
      <c r="C68" s="70"/>
      <c r="D68" s="71"/>
      <c r="E68" s="72"/>
      <c r="F68" s="72"/>
      <c r="G68" s="72"/>
      <c r="H68" s="29"/>
      <c r="I68" s="29"/>
      <c r="J68" s="72"/>
      <c r="K68" s="72"/>
      <c r="L68" s="72"/>
      <c r="M68" s="72"/>
      <c r="N68" s="72"/>
      <c r="O68" s="72"/>
      <c r="P68" s="72"/>
    </row>
    <row r="69" spans="1:16">
      <c r="A69" s="70"/>
      <c r="B69" s="167"/>
      <c r="C69" s="70"/>
      <c r="D69" s="71"/>
      <c r="E69" s="72"/>
      <c r="F69" s="72"/>
      <c r="G69" s="72"/>
      <c r="H69" s="29"/>
      <c r="I69" s="29"/>
      <c r="J69" s="72"/>
      <c r="K69" s="72"/>
      <c r="L69" s="72"/>
      <c r="M69" s="72"/>
      <c r="N69" s="72"/>
      <c r="O69" s="72"/>
      <c r="P69" s="72"/>
    </row>
    <row r="70" spans="1:16">
      <c r="A70" s="70"/>
      <c r="B70" s="167"/>
      <c r="C70" s="70"/>
      <c r="D70" s="71"/>
      <c r="E70" s="72"/>
      <c r="F70" s="72"/>
      <c r="G70" s="72"/>
      <c r="H70" s="29"/>
      <c r="I70" s="29"/>
      <c r="J70" s="72"/>
      <c r="K70" s="72"/>
      <c r="L70" s="72"/>
      <c r="M70" s="72"/>
      <c r="N70" s="72"/>
      <c r="O70" s="72"/>
      <c r="P70" s="72"/>
    </row>
    <row r="71" spans="1:16">
      <c r="A71" s="70"/>
      <c r="B71" s="167"/>
      <c r="C71" s="70"/>
      <c r="D71" s="71"/>
      <c r="E71" s="72"/>
      <c r="F71" s="72"/>
      <c r="G71" s="72"/>
      <c r="H71" s="29"/>
      <c r="I71" s="29"/>
      <c r="J71" s="72"/>
      <c r="K71" s="72"/>
      <c r="L71" s="72"/>
      <c r="M71" s="72"/>
      <c r="N71" s="72"/>
      <c r="O71" s="72"/>
      <c r="P71" s="72"/>
    </row>
    <row r="72" spans="1:16">
      <c r="A72" s="70"/>
      <c r="B72" s="167"/>
      <c r="C72" s="70"/>
      <c r="D72" s="71"/>
      <c r="E72" s="72"/>
      <c r="F72" s="72"/>
      <c r="G72" s="72"/>
      <c r="H72" s="29"/>
      <c r="I72" s="29"/>
      <c r="J72" s="72"/>
      <c r="K72" s="72"/>
      <c r="L72" s="72"/>
      <c r="M72" s="72"/>
      <c r="N72" s="72"/>
      <c r="O72" s="72"/>
      <c r="P72" s="72"/>
    </row>
    <row r="73" spans="1:16">
      <c r="A73" s="70"/>
      <c r="B73" s="167"/>
      <c r="C73" s="70"/>
      <c r="D73" s="71"/>
      <c r="E73" s="72"/>
      <c r="F73" s="72"/>
      <c r="G73" s="72"/>
      <c r="H73" s="29"/>
      <c r="I73" s="29"/>
      <c r="J73" s="72"/>
      <c r="K73" s="72"/>
      <c r="L73" s="72"/>
      <c r="M73" s="72"/>
      <c r="N73" s="72"/>
      <c r="O73" s="72"/>
      <c r="P73" s="72"/>
    </row>
    <row r="74" spans="1:16">
      <c r="A74" s="70"/>
      <c r="B74" s="167"/>
      <c r="C74" s="70"/>
      <c r="D74" s="71"/>
      <c r="E74" s="72"/>
      <c r="F74" s="72"/>
      <c r="G74" s="72"/>
      <c r="H74" s="29"/>
      <c r="I74" s="29"/>
      <c r="J74" s="72"/>
      <c r="K74" s="72"/>
      <c r="L74" s="72"/>
      <c r="M74" s="72"/>
      <c r="N74" s="72"/>
      <c r="O74" s="72"/>
      <c r="P74" s="72"/>
    </row>
    <row r="75" spans="1:16">
      <c r="A75" s="70"/>
      <c r="B75" s="167"/>
      <c r="C75" s="70"/>
      <c r="D75" s="71"/>
      <c r="E75" s="72"/>
      <c r="F75" s="72"/>
      <c r="G75" s="72"/>
      <c r="H75" s="29"/>
      <c r="I75" s="29"/>
      <c r="J75" s="72"/>
      <c r="K75" s="72"/>
      <c r="L75" s="72"/>
      <c r="M75" s="72"/>
      <c r="N75" s="72"/>
      <c r="O75" s="72"/>
      <c r="P75" s="72"/>
    </row>
    <row r="76" spans="1:16">
      <c r="A76" s="70"/>
      <c r="B76" s="167"/>
      <c r="C76" s="70"/>
      <c r="D76" s="71"/>
      <c r="E76" s="72"/>
      <c r="F76" s="72"/>
      <c r="G76" s="72"/>
      <c r="H76" s="29"/>
      <c r="I76" s="29"/>
      <c r="J76" s="72"/>
      <c r="K76" s="72"/>
      <c r="L76" s="72"/>
      <c r="M76" s="72"/>
      <c r="N76" s="72"/>
      <c r="O76" s="72"/>
      <c r="P76" s="72"/>
    </row>
    <row r="77" spans="1:16">
      <c r="A77" s="70"/>
      <c r="B77" s="167"/>
      <c r="C77" s="70"/>
      <c r="D77" s="71"/>
      <c r="E77" s="72"/>
      <c r="F77" s="72"/>
      <c r="G77" s="72"/>
      <c r="H77" s="29"/>
      <c r="I77" s="29"/>
      <c r="J77" s="72"/>
      <c r="K77" s="72"/>
      <c r="L77" s="72"/>
      <c r="M77" s="72"/>
      <c r="N77" s="72"/>
      <c r="O77" s="72"/>
      <c r="P77" s="72"/>
    </row>
    <row r="78" spans="1:16">
      <c r="A78" s="70"/>
      <c r="B78" s="167"/>
      <c r="C78" s="70"/>
      <c r="D78" s="71"/>
      <c r="E78" s="72"/>
      <c r="F78" s="72"/>
      <c r="G78" s="72"/>
      <c r="H78" s="29"/>
      <c r="I78" s="29"/>
      <c r="J78" s="72"/>
      <c r="K78" s="72"/>
      <c r="L78" s="72"/>
      <c r="M78" s="72"/>
      <c r="N78" s="72"/>
      <c r="O78" s="72"/>
      <c r="P78" s="72"/>
    </row>
    <row r="79" spans="1:16">
      <c r="A79" s="70"/>
      <c r="B79" s="167"/>
      <c r="C79" s="70"/>
      <c r="D79" s="71"/>
      <c r="E79" s="72"/>
      <c r="F79" s="72"/>
      <c r="G79" s="72"/>
      <c r="H79" s="29"/>
      <c r="I79" s="29"/>
      <c r="J79" s="72"/>
      <c r="K79" s="72"/>
      <c r="L79" s="72"/>
      <c r="M79" s="72"/>
      <c r="N79" s="72"/>
      <c r="O79" s="72"/>
      <c r="P79" s="72"/>
    </row>
    <row r="80" spans="1:16">
      <c r="A80" s="70"/>
      <c r="B80" s="167"/>
      <c r="C80" s="70"/>
      <c r="D80" s="71"/>
      <c r="E80" s="72"/>
      <c r="F80" s="72"/>
      <c r="G80" s="72"/>
      <c r="H80" s="29"/>
      <c r="I80" s="29"/>
      <c r="J80" s="72"/>
      <c r="K80" s="72"/>
      <c r="L80" s="72"/>
      <c r="M80" s="72"/>
      <c r="N80" s="72"/>
      <c r="O80" s="72"/>
      <c r="P80" s="72"/>
    </row>
    <row r="81" spans="1:16">
      <c r="A81" s="70"/>
      <c r="B81" s="167"/>
      <c r="C81" s="70"/>
      <c r="D81" s="71"/>
      <c r="E81" s="72"/>
      <c r="F81" s="72"/>
      <c r="G81" s="72"/>
      <c r="H81" s="29"/>
      <c r="I81" s="29"/>
      <c r="J81" s="72"/>
      <c r="K81" s="72"/>
      <c r="L81" s="72"/>
      <c r="M81" s="72"/>
      <c r="N81" s="72"/>
      <c r="O81" s="72"/>
      <c r="P81" s="72"/>
    </row>
    <row r="82" spans="1:16">
      <c r="A82" s="70"/>
      <c r="B82" s="167"/>
      <c r="C82" s="70"/>
      <c r="D82" s="71"/>
      <c r="E82" s="72"/>
      <c r="F82" s="72"/>
      <c r="G82" s="72"/>
      <c r="H82" s="29"/>
      <c r="I82" s="29"/>
      <c r="J82" s="72"/>
      <c r="K82" s="72"/>
      <c r="L82" s="72"/>
      <c r="M82" s="72"/>
      <c r="N82" s="72"/>
      <c r="O82" s="72"/>
      <c r="P82" s="72"/>
    </row>
    <row r="83" spans="1:16">
      <c r="A83" s="70"/>
      <c r="B83" s="167"/>
      <c r="C83" s="70"/>
      <c r="D83" s="71"/>
      <c r="E83" s="72"/>
      <c r="F83" s="72"/>
      <c r="G83" s="72"/>
      <c r="H83" s="29"/>
      <c r="I83" s="29"/>
      <c r="J83" s="72"/>
      <c r="K83" s="72"/>
      <c r="L83" s="72"/>
      <c r="M83" s="72"/>
      <c r="N83" s="72"/>
      <c r="O83" s="72"/>
      <c r="P83" s="72"/>
    </row>
    <row r="84" spans="1:16">
      <c r="A84" s="70"/>
      <c r="B84" s="167"/>
      <c r="C84" s="70"/>
      <c r="D84" s="71"/>
      <c r="E84" s="72"/>
      <c r="F84" s="72"/>
      <c r="G84" s="72"/>
      <c r="H84" s="29"/>
      <c r="I84" s="29"/>
      <c r="J84" s="72"/>
      <c r="K84" s="72"/>
      <c r="L84" s="72"/>
      <c r="M84" s="72"/>
      <c r="N84" s="72"/>
      <c r="O84" s="72"/>
      <c r="P84" s="72"/>
    </row>
    <row r="85" spans="1:16">
      <c r="A85" s="70"/>
      <c r="B85" s="167"/>
      <c r="C85" s="70"/>
      <c r="D85" s="71"/>
      <c r="E85" s="72"/>
      <c r="F85" s="72"/>
      <c r="G85" s="72"/>
      <c r="H85" s="29"/>
      <c r="I85" s="29"/>
      <c r="J85" s="72"/>
      <c r="K85" s="72"/>
      <c r="L85" s="72"/>
      <c r="M85" s="72"/>
      <c r="N85" s="72"/>
      <c r="O85" s="72"/>
      <c r="P85" s="72"/>
    </row>
    <row r="86" spans="1:16">
      <c r="A86" s="70"/>
      <c r="B86" s="167"/>
      <c r="C86" s="70"/>
      <c r="D86" s="71"/>
      <c r="E86" s="72"/>
      <c r="F86" s="72"/>
      <c r="G86" s="72"/>
      <c r="H86" s="29"/>
      <c r="I86" s="29"/>
      <c r="J86" s="72"/>
      <c r="K86" s="72"/>
      <c r="L86" s="72"/>
      <c r="M86" s="72"/>
      <c r="N86" s="72"/>
      <c r="O86" s="72"/>
      <c r="P86" s="72"/>
    </row>
    <row r="87" spans="1:16">
      <c r="A87" s="70"/>
      <c r="B87" s="167"/>
      <c r="C87" s="70"/>
      <c r="D87" s="71"/>
      <c r="E87" s="72"/>
      <c r="F87" s="72"/>
      <c r="G87" s="72"/>
      <c r="H87" s="29"/>
      <c r="I87" s="29"/>
      <c r="J87" s="72"/>
      <c r="K87" s="72"/>
      <c r="L87" s="72"/>
      <c r="M87" s="72"/>
      <c r="N87" s="72"/>
      <c r="O87" s="72"/>
      <c r="P87" s="72"/>
    </row>
    <row r="88" spans="1:16">
      <c r="A88" s="70"/>
      <c r="B88" s="167"/>
      <c r="C88" s="70"/>
      <c r="D88" s="71"/>
      <c r="E88" s="72"/>
      <c r="F88" s="72"/>
      <c r="G88" s="72"/>
      <c r="H88" s="29"/>
      <c r="I88" s="29"/>
      <c r="J88" s="72"/>
      <c r="K88" s="72"/>
      <c r="L88" s="72"/>
      <c r="M88" s="72"/>
      <c r="N88" s="72"/>
      <c r="O88" s="72"/>
      <c r="P88" s="72"/>
    </row>
    <row r="89" spans="1:16">
      <c r="A89" s="70"/>
      <c r="B89" s="167"/>
      <c r="C89" s="70"/>
      <c r="D89" s="71"/>
      <c r="E89" s="72"/>
      <c r="F89" s="72"/>
      <c r="G89" s="72"/>
      <c r="H89" s="29"/>
      <c r="I89" s="29"/>
      <c r="J89" s="72"/>
      <c r="K89" s="72"/>
      <c r="L89" s="72"/>
      <c r="M89" s="72"/>
      <c r="N89" s="72"/>
      <c r="O89" s="72"/>
      <c r="P89" s="72"/>
    </row>
    <row r="90" spans="1:16">
      <c r="A90" s="70"/>
      <c r="B90" s="167"/>
      <c r="C90" s="70"/>
      <c r="D90" s="71"/>
      <c r="E90" s="72"/>
      <c r="F90" s="72"/>
      <c r="G90" s="72"/>
      <c r="H90" s="29"/>
      <c r="I90" s="29"/>
      <c r="J90" s="72"/>
      <c r="K90" s="72"/>
      <c r="L90" s="72"/>
      <c r="M90" s="72"/>
      <c r="N90" s="72"/>
      <c r="O90" s="72"/>
      <c r="P90" s="72"/>
    </row>
    <row r="91" spans="1:16">
      <c r="A91" s="70"/>
      <c r="B91" s="167"/>
      <c r="C91" s="70"/>
      <c r="D91" s="71"/>
      <c r="E91" s="72"/>
      <c r="F91" s="72"/>
      <c r="G91" s="72"/>
      <c r="H91" s="29"/>
      <c r="I91" s="29"/>
      <c r="J91" s="72"/>
      <c r="K91" s="72"/>
      <c r="L91" s="72"/>
      <c r="M91" s="72"/>
      <c r="N91" s="72"/>
      <c r="O91" s="72"/>
      <c r="P91" s="72"/>
    </row>
    <row r="92" spans="1:16">
      <c r="A92" s="70"/>
      <c r="B92" s="167"/>
      <c r="C92" s="70"/>
      <c r="D92" s="71"/>
      <c r="E92" s="72"/>
      <c r="F92" s="72"/>
      <c r="G92" s="72"/>
      <c r="H92" s="29"/>
      <c r="I92" s="29"/>
      <c r="J92" s="72"/>
      <c r="K92" s="72"/>
      <c r="L92" s="72"/>
      <c r="M92" s="72"/>
      <c r="N92" s="72"/>
      <c r="O92" s="72"/>
      <c r="P92" s="72"/>
    </row>
    <row r="93" spans="1:16">
      <c r="A93" s="70"/>
      <c r="B93" s="167"/>
      <c r="C93" s="70"/>
      <c r="D93" s="71"/>
      <c r="E93" s="72"/>
      <c r="F93" s="72"/>
      <c r="G93" s="72"/>
      <c r="H93" s="29"/>
      <c r="I93" s="29"/>
      <c r="J93" s="72"/>
      <c r="K93" s="72"/>
      <c r="L93" s="72"/>
      <c r="M93" s="72"/>
      <c r="N93" s="72"/>
      <c r="O93" s="72"/>
      <c r="P93" s="72"/>
    </row>
    <row r="94" spans="1:16">
      <c r="A94" s="70"/>
      <c r="B94" s="167"/>
      <c r="C94" s="70"/>
      <c r="D94" s="71"/>
      <c r="E94" s="72"/>
      <c r="F94" s="72"/>
      <c r="G94" s="72"/>
      <c r="H94" s="29"/>
      <c r="I94" s="29"/>
      <c r="J94" s="72"/>
      <c r="K94" s="72"/>
      <c r="L94" s="72"/>
      <c r="M94" s="72"/>
      <c r="N94" s="72"/>
      <c r="O94" s="72"/>
      <c r="P94" s="72"/>
    </row>
    <row r="95" spans="1:16">
      <c r="A95" s="70"/>
      <c r="B95" s="167"/>
      <c r="C95" s="70"/>
      <c r="D95" s="71"/>
      <c r="E95" s="72"/>
      <c r="F95" s="72"/>
      <c r="G95" s="72"/>
      <c r="H95" s="29"/>
      <c r="I95" s="29"/>
      <c r="J95" s="72"/>
      <c r="K95" s="72"/>
      <c r="L95" s="72"/>
      <c r="M95" s="72"/>
      <c r="N95" s="72"/>
      <c r="O95" s="72"/>
      <c r="P95" s="72"/>
    </row>
    <row r="96" spans="1:16">
      <c r="A96" s="70"/>
      <c r="B96" s="167"/>
      <c r="C96" s="70"/>
      <c r="D96" s="71"/>
      <c r="E96" s="72"/>
      <c r="F96" s="72"/>
      <c r="G96" s="72"/>
      <c r="H96" s="29"/>
      <c r="I96" s="29"/>
      <c r="J96" s="72"/>
      <c r="K96" s="72"/>
      <c r="L96" s="72"/>
      <c r="M96" s="72"/>
      <c r="N96" s="72"/>
      <c r="O96" s="72"/>
      <c r="P96" s="72"/>
    </row>
    <row r="97" spans="1:16">
      <c r="A97" s="70"/>
      <c r="B97" s="167"/>
      <c r="C97" s="70"/>
      <c r="D97" s="71"/>
      <c r="E97" s="72"/>
      <c r="F97" s="72"/>
      <c r="G97" s="72"/>
      <c r="H97" s="29"/>
      <c r="I97" s="29"/>
      <c r="J97" s="72"/>
      <c r="K97" s="72"/>
      <c r="L97" s="72"/>
      <c r="M97" s="72"/>
      <c r="N97" s="72"/>
      <c r="O97" s="72"/>
      <c r="P97" s="72"/>
    </row>
    <row r="98" spans="1:16">
      <c r="A98" s="70"/>
      <c r="B98" s="167"/>
      <c r="C98" s="70"/>
      <c r="D98" s="71"/>
      <c r="E98" s="72"/>
      <c r="F98" s="72"/>
      <c r="G98" s="72"/>
      <c r="H98" s="29"/>
      <c r="I98" s="29"/>
      <c r="J98" s="72"/>
      <c r="K98" s="72"/>
      <c r="L98" s="72"/>
      <c r="M98" s="72"/>
      <c r="N98" s="72"/>
      <c r="O98" s="72"/>
      <c r="P98" s="72"/>
    </row>
    <row r="99" spans="1:16">
      <c r="A99" s="70"/>
      <c r="B99" s="167"/>
      <c r="C99" s="70"/>
      <c r="D99" s="71"/>
      <c r="E99" s="72"/>
      <c r="F99" s="72"/>
      <c r="G99" s="72"/>
      <c r="H99" s="29"/>
      <c r="I99" s="29"/>
      <c r="J99" s="72"/>
      <c r="K99" s="72"/>
      <c r="L99" s="72"/>
      <c r="M99" s="72"/>
      <c r="N99" s="72"/>
      <c r="O99" s="72"/>
      <c r="P99" s="72"/>
    </row>
    <row r="100" spans="1:16">
      <c r="A100" s="70"/>
      <c r="B100" s="167"/>
      <c r="C100" s="70"/>
      <c r="D100" s="71"/>
      <c r="E100" s="72"/>
      <c r="F100" s="72"/>
      <c r="G100" s="72"/>
      <c r="H100" s="29"/>
      <c r="I100" s="29"/>
      <c r="J100" s="72"/>
      <c r="K100" s="72"/>
      <c r="L100" s="72"/>
      <c r="M100" s="72"/>
      <c r="N100" s="72"/>
      <c r="O100" s="72"/>
      <c r="P100" s="72"/>
    </row>
    <row r="101" spans="1:16">
      <c r="A101" s="70"/>
      <c r="B101" s="167"/>
      <c r="C101" s="70"/>
      <c r="D101" s="71"/>
      <c r="E101" s="72"/>
      <c r="F101" s="72"/>
      <c r="G101" s="72"/>
      <c r="H101" s="29"/>
      <c r="I101" s="29"/>
      <c r="J101" s="72"/>
      <c r="K101" s="72"/>
      <c r="L101" s="72"/>
      <c r="M101" s="72"/>
      <c r="N101" s="72"/>
      <c r="O101" s="72"/>
      <c r="P101" s="72"/>
    </row>
    <row r="102" spans="1:16">
      <c r="A102" s="70"/>
      <c r="B102" s="167"/>
      <c r="C102" s="70"/>
      <c r="D102" s="71"/>
      <c r="E102" s="72"/>
      <c r="F102" s="72"/>
      <c r="G102" s="72"/>
      <c r="H102" s="29"/>
      <c r="I102" s="29"/>
      <c r="J102" s="72"/>
      <c r="K102" s="72"/>
      <c r="L102" s="72"/>
      <c r="M102" s="72"/>
      <c r="N102" s="72"/>
      <c r="O102" s="72"/>
      <c r="P102" s="72"/>
    </row>
    <row r="103" spans="1:16">
      <c r="A103" s="70"/>
      <c r="B103" s="167"/>
      <c r="C103" s="70"/>
      <c r="D103" s="71"/>
      <c r="E103" s="72"/>
      <c r="F103" s="72"/>
      <c r="G103" s="72"/>
      <c r="H103" s="29"/>
      <c r="I103" s="29"/>
      <c r="J103" s="72"/>
      <c r="K103" s="72"/>
      <c r="L103" s="72"/>
      <c r="M103" s="72"/>
      <c r="N103" s="72"/>
      <c r="O103" s="72"/>
      <c r="P103" s="72"/>
    </row>
    <row r="104" spans="1:16">
      <c r="A104" s="70"/>
      <c r="B104" s="167"/>
      <c r="C104" s="70"/>
      <c r="D104" s="71"/>
      <c r="E104" s="72"/>
      <c r="F104" s="72"/>
      <c r="G104" s="72"/>
      <c r="H104" s="29"/>
      <c r="I104" s="29"/>
      <c r="J104" s="72"/>
      <c r="K104" s="72"/>
      <c r="L104" s="72"/>
      <c r="M104" s="72"/>
      <c r="N104" s="72"/>
      <c r="O104" s="72"/>
      <c r="P104" s="72"/>
    </row>
    <row r="105" spans="1:16">
      <c r="A105" s="70"/>
      <c r="B105" s="167"/>
      <c r="C105" s="70"/>
      <c r="D105" s="71"/>
      <c r="E105" s="72"/>
      <c r="F105" s="72"/>
      <c r="G105" s="72"/>
      <c r="H105" s="29"/>
      <c r="I105" s="29"/>
      <c r="J105" s="72"/>
      <c r="K105" s="72"/>
      <c r="L105" s="72"/>
      <c r="M105" s="72"/>
      <c r="N105" s="72"/>
      <c r="O105" s="72"/>
      <c r="P105" s="72"/>
    </row>
    <row r="106" spans="1:16">
      <c r="A106" s="70"/>
      <c r="B106" s="167"/>
      <c r="C106" s="70"/>
      <c r="D106" s="71"/>
      <c r="E106" s="72"/>
      <c r="F106" s="72"/>
      <c r="G106" s="72"/>
      <c r="H106" s="29"/>
      <c r="I106" s="29"/>
      <c r="J106" s="72"/>
      <c r="K106" s="72"/>
      <c r="L106" s="72"/>
      <c r="M106" s="72"/>
      <c r="N106" s="72"/>
      <c r="O106" s="72"/>
      <c r="P106" s="72"/>
    </row>
    <row r="107" spans="1:16">
      <c r="A107" s="70"/>
      <c r="B107" s="167"/>
      <c r="C107" s="70"/>
      <c r="D107" s="71"/>
      <c r="E107" s="72"/>
      <c r="F107" s="72"/>
      <c r="G107" s="72"/>
      <c r="H107" s="29"/>
      <c r="I107" s="29"/>
      <c r="J107" s="72"/>
      <c r="K107" s="72"/>
      <c r="L107" s="72"/>
      <c r="M107" s="72"/>
      <c r="N107" s="72"/>
      <c r="O107" s="72"/>
      <c r="P107" s="72"/>
    </row>
    <row r="108" spans="1:16">
      <c r="A108" s="70"/>
      <c r="B108" s="167"/>
      <c r="C108" s="70"/>
      <c r="D108" s="71"/>
      <c r="E108" s="72"/>
      <c r="F108" s="72"/>
      <c r="G108" s="72"/>
      <c r="H108" s="29"/>
      <c r="I108" s="29"/>
      <c r="J108" s="72"/>
      <c r="K108" s="72"/>
      <c r="L108" s="72"/>
      <c r="M108" s="72"/>
      <c r="N108" s="72"/>
      <c r="O108" s="72"/>
      <c r="P108" s="72"/>
    </row>
    <row r="109" spans="1:16">
      <c r="A109" s="70"/>
      <c r="B109" s="167"/>
      <c r="C109" s="70"/>
      <c r="D109" s="71"/>
      <c r="E109" s="72"/>
      <c r="F109" s="72"/>
      <c r="G109" s="72"/>
      <c r="H109" s="29"/>
      <c r="I109" s="29"/>
      <c r="J109" s="72"/>
      <c r="K109" s="72"/>
      <c r="L109" s="72"/>
      <c r="M109" s="72"/>
      <c r="N109" s="72"/>
      <c r="O109" s="72"/>
      <c r="P109" s="72"/>
    </row>
    <row r="110" spans="1:16">
      <c r="A110" s="70"/>
      <c r="B110" s="167"/>
      <c r="C110" s="70"/>
      <c r="D110" s="71"/>
      <c r="E110" s="72"/>
      <c r="F110" s="72"/>
      <c r="G110" s="72"/>
      <c r="H110" s="29"/>
      <c r="I110" s="29"/>
      <c r="J110" s="72"/>
      <c r="K110" s="72"/>
      <c r="L110" s="72"/>
      <c r="M110" s="72"/>
      <c r="N110" s="72"/>
      <c r="O110" s="72"/>
      <c r="P110" s="72"/>
    </row>
    <row r="111" spans="1:16">
      <c r="A111" s="70"/>
      <c r="B111" s="167"/>
      <c r="C111" s="70"/>
      <c r="D111" s="71"/>
      <c r="E111" s="72"/>
      <c r="F111" s="72"/>
      <c r="G111" s="72"/>
      <c r="H111" s="29"/>
      <c r="I111" s="29"/>
      <c r="J111" s="72"/>
      <c r="K111" s="72"/>
      <c r="L111" s="72"/>
      <c r="M111" s="72"/>
      <c r="N111" s="72"/>
      <c r="O111" s="72"/>
      <c r="P111" s="72"/>
    </row>
    <row r="112" spans="1:16">
      <c r="A112" s="70"/>
      <c r="B112" s="167"/>
      <c r="C112" s="70"/>
      <c r="D112" s="71"/>
      <c r="E112" s="72"/>
      <c r="F112" s="72"/>
      <c r="G112" s="72"/>
      <c r="H112" s="29"/>
      <c r="I112" s="29"/>
      <c r="J112" s="72"/>
      <c r="K112" s="72"/>
      <c r="L112" s="72"/>
      <c r="M112" s="72"/>
      <c r="N112" s="72"/>
      <c r="O112" s="72"/>
      <c r="P112" s="72"/>
    </row>
    <row r="113" spans="1:16">
      <c r="A113" s="70"/>
      <c r="B113" s="167"/>
      <c r="C113" s="70"/>
      <c r="D113" s="71"/>
      <c r="E113" s="72"/>
      <c r="F113" s="72"/>
      <c r="G113" s="72"/>
      <c r="H113" s="29"/>
      <c r="I113" s="29"/>
      <c r="J113" s="72"/>
      <c r="K113" s="72"/>
      <c r="L113" s="72"/>
      <c r="M113" s="72"/>
      <c r="N113" s="72"/>
      <c r="O113" s="72"/>
      <c r="P113" s="72"/>
    </row>
    <row r="114" spans="1:16">
      <c r="A114" s="70"/>
      <c r="B114" s="167"/>
      <c r="C114" s="70"/>
      <c r="D114" s="71"/>
      <c r="E114" s="72"/>
      <c r="F114" s="72"/>
      <c r="G114" s="72"/>
      <c r="H114" s="29"/>
      <c r="I114" s="29"/>
      <c r="J114" s="72"/>
      <c r="K114" s="72"/>
      <c r="L114" s="72"/>
      <c r="M114" s="72"/>
      <c r="N114" s="72"/>
      <c r="O114" s="72"/>
      <c r="P114" s="72"/>
    </row>
    <row r="115" spans="1:16">
      <c r="A115" s="70"/>
      <c r="B115" s="167"/>
      <c r="C115" s="70"/>
      <c r="D115" s="71"/>
      <c r="E115" s="72"/>
      <c r="F115" s="72"/>
      <c r="G115" s="72"/>
      <c r="H115" s="29"/>
      <c r="I115" s="29"/>
      <c r="J115" s="72"/>
      <c r="K115" s="72"/>
      <c r="L115" s="72"/>
      <c r="M115" s="72"/>
      <c r="N115" s="72"/>
      <c r="O115" s="72"/>
      <c r="P115" s="72"/>
    </row>
    <row r="116" spans="1:16">
      <c r="A116" s="70"/>
      <c r="B116" s="167"/>
      <c r="C116" s="70"/>
      <c r="D116" s="71"/>
      <c r="E116" s="72"/>
      <c r="F116" s="72"/>
      <c r="G116" s="72"/>
      <c r="H116" s="29"/>
      <c r="I116" s="29"/>
      <c r="J116" s="72"/>
      <c r="K116" s="72"/>
      <c r="L116" s="72"/>
      <c r="M116" s="72"/>
      <c r="N116" s="72"/>
      <c r="O116" s="72"/>
      <c r="P116" s="72"/>
    </row>
    <row r="117" spans="1:16">
      <c r="A117" s="70"/>
      <c r="B117" s="167"/>
      <c r="C117" s="70"/>
      <c r="D117" s="71"/>
      <c r="E117" s="72"/>
      <c r="F117" s="72"/>
      <c r="G117" s="72"/>
      <c r="H117" s="29"/>
      <c r="I117" s="29"/>
      <c r="J117" s="72"/>
      <c r="K117" s="72"/>
      <c r="L117" s="72"/>
      <c r="M117" s="72"/>
      <c r="N117" s="72"/>
      <c r="O117" s="72"/>
      <c r="P117" s="72"/>
    </row>
    <row r="118" spans="1:16">
      <c r="A118" s="70"/>
      <c r="B118" s="167"/>
      <c r="C118" s="70"/>
      <c r="D118" s="71"/>
      <c r="E118" s="72"/>
      <c r="F118" s="72"/>
      <c r="G118" s="72"/>
      <c r="H118" s="29"/>
      <c r="I118" s="29"/>
      <c r="J118" s="72"/>
      <c r="K118" s="72"/>
      <c r="L118" s="72"/>
      <c r="M118" s="72"/>
      <c r="N118" s="72"/>
      <c r="O118" s="72"/>
      <c r="P118" s="72"/>
    </row>
    <row r="119" spans="1:16">
      <c r="A119" s="70"/>
      <c r="B119" s="167"/>
      <c r="C119" s="70"/>
      <c r="D119" s="71"/>
      <c r="E119" s="72"/>
      <c r="F119" s="72"/>
      <c r="G119" s="72"/>
      <c r="H119" s="29"/>
      <c r="I119" s="29"/>
      <c r="J119" s="72"/>
      <c r="K119" s="72"/>
      <c r="L119" s="72"/>
      <c r="M119" s="72"/>
      <c r="N119" s="72"/>
      <c r="O119" s="72"/>
      <c r="P119" s="72"/>
    </row>
    <row r="120" spans="1:16">
      <c r="A120" s="70"/>
      <c r="B120" s="167"/>
      <c r="C120" s="70"/>
      <c r="D120" s="71"/>
      <c r="E120" s="72"/>
      <c r="F120" s="72"/>
      <c r="G120" s="72"/>
      <c r="H120" s="29"/>
      <c r="I120" s="29"/>
      <c r="J120" s="72"/>
      <c r="K120" s="72"/>
      <c r="L120" s="72"/>
      <c r="M120" s="72"/>
      <c r="N120" s="72"/>
      <c r="O120" s="72"/>
      <c r="P120" s="72"/>
    </row>
    <row r="121" spans="1:16">
      <c r="A121" s="70"/>
      <c r="B121" s="167"/>
      <c r="C121" s="70"/>
      <c r="D121" s="71"/>
      <c r="E121" s="72"/>
      <c r="F121" s="72"/>
      <c r="G121" s="72"/>
      <c r="H121" s="29"/>
      <c r="I121" s="29"/>
      <c r="J121" s="72"/>
      <c r="K121" s="72"/>
      <c r="L121" s="72"/>
      <c r="M121" s="72"/>
      <c r="N121" s="72"/>
      <c r="O121" s="72"/>
      <c r="P121" s="72"/>
    </row>
    <row r="122" spans="1:16">
      <c r="A122" s="70"/>
      <c r="B122" s="167"/>
      <c r="C122" s="70"/>
      <c r="D122" s="71"/>
      <c r="E122" s="72"/>
      <c r="F122" s="72"/>
      <c r="G122" s="72"/>
      <c r="H122" s="29"/>
      <c r="I122" s="29"/>
      <c r="J122" s="72"/>
      <c r="K122" s="72"/>
      <c r="L122" s="72"/>
      <c r="M122" s="72"/>
      <c r="N122" s="72"/>
      <c r="O122" s="72"/>
      <c r="P122" s="72"/>
    </row>
    <row r="123" spans="1:16">
      <c r="A123" s="70"/>
      <c r="B123" s="167"/>
      <c r="C123" s="70"/>
      <c r="D123" s="71"/>
      <c r="E123" s="72"/>
      <c r="F123" s="72"/>
      <c r="G123" s="72"/>
      <c r="H123" s="29"/>
      <c r="I123" s="29"/>
      <c r="J123" s="72"/>
      <c r="K123" s="72"/>
      <c r="L123" s="72"/>
      <c r="M123" s="72"/>
      <c r="N123" s="72"/>
      <c r="O123" s="72"/>
      <c r="P123" s="72"/>
    </row>
    <row r="124" spans="1:16">
      <c r="A124" s="70"/>
      <c r="B124" s="167"/>
      <c r="C124" s="70"/>
      <c r="D124" s="71"/>
      <c r="E124" s="72"/>
      <c r="F124" s="72"/>
      <c r="G124" s="72"/>
      <c r="H124" s="29"/>
      <c r="I124" s="29"/>
      <c r="J124" s="72"/>
      <c r="K124" s="72"/>
      <c r="L124" s="72"/>
      <c r="M124" s="72"/>
      <c r="N124" s="72"/>
      <c r="O124" s="72"/>
      <c r="P124" s="72"/>
    </row>
    <row r="125" spans="1:16">
      <c r="A125" s="70"/>
      <c r="B125" s="167"/>
      <c r="C125" s="70"/>
      <c r="D125" s="71"/>
      <c r="E125" s="72"/>
      <c r="F125" s="72"/>
      <c r="G125" s="72"/>
      <c r="H125" s="29"/>
      <c r="I125" s="29"/>
      <c r="J125" s="72"/>
      <c r="K125" s="72"/>
      <c r="L125" s="72"/>
      <c r="M125" s="72"/>
      <c r="N125" s="72"/>
      <c r="O125" s="72"/>
      <c r="P125" s="72"/>
    </row>
    <row r="126" spans="1:16">
      <c r="A126" s="70"/>
      <c r="B126" s="167"/>
      <c r="C126" s="70"/>
      <c r="D126" s="71"/>
      <c r="E126" s="72"/>
      <c r="F126" s="72"/>
      <c r="G126" s="72"/>
      <c r="H126" s="29"/>
      <c r="I126" s="29"/>
      <c r="J126" s="72"/>
      <c r="K126" s="72"/>
      <c r="L126" s="72"/>
      <c r="M126" s="72"/>
      <c r="N126" s="72"/>
      <c r="O126" s="72"/>
      <c r="P126" s="72"/>
    </row>
    <row r="127" spans="1:16">
      <c r="A127" s="70"/>
      <c r="B127" s="167"/>
      <c r="C127" s="70"/>
      <c r="D127" s="71"/>
      <c r="E127" s="72"/>
      <c r="F127" s="72"/>
      <c r="G127" s="72"/>
      <c r="H127" s="29"/>
      <c r="I127" s="29"/>
      <c r="J127" s="72"/>
      <c r="K127" s="72"/>
      <c r="L127" s="72"/>
      <c r="M127" s="72"/>
      <c r="N127" s="72"/>
      <c r="O127" s="72"/>
      <c r="P127" s="72"/>
    </row>
    <row r="128" spans="1:16">
      <c r="A128" s="70"/>
      <c r="B128" s="167"/>
      <c r="C128" s="70"/>
      <c r="D128" s="71"/>
      <c r="E128" s="72"/>
      <c r="F128" s="72"/>
      <c r="G128" s="72"/>
      <c r="H128" s="29"/>
      <c r="I128" s="29"/>
      <c r="J128" s="72"/>
      <c r="K128" s="72"/>
      <c r="L128" s="72"/>
      <c r="M128" s="72"/>
      <c r="N128" s="72"/>
      <c r="O128" s="72"/>
      <c r="P128" s="72"/>
    </row>
    <row r="129" spans="1:16">
      <c r="A129" s="70"/>
      <c r="B129" s="167"/>
      <c r="C129" s="70"/>
      <c r="D129" s="71"/>
      <c r="E129" s="72"/>
      <c r="F129" s="72"/>
      <c r="G129" s="72"/>
      <c r="H129" s="29"/>
      <c r="I129" s="29"/>
      <c r="J129" s="72"/>
      <c r="K129" s="72"/>
      <c r="L129" s="72"/>
      <c r="M129" s="72"/>
      <c r="N129" s="72"/>
      <c r="O129" s="72"/>
      <c r="P129" s="72"/>
    </row>
    <row r="130" spans="1:16">
      <c r="A130" s="70"/>
      <c r="B130" s="167"/>
      <c r="C130" s="70"/>
      <c r="D130" s="71"/>
      <c r="E130" s="72"/>
      <c r="F130" s="72"/>
      <c r="G130" s="72"/>
      <c r="H130" s="29"/>
      <c r="I130" s="29"/>
      <c r="J130" s="72"/>
      <c r="K130" s="72"/>
      <c r="L130" s="72"/>
      <c r="M130" s="72"/>
      <c r="N130" s="72"/>
      <c r="O130" s="72"/>
      <c r="P130" s="72"/>
    </row>
    <row r="131" spans="1:16">
      <c r="A131" s="70"/>
      <c r="B131" s="167"/>
      <c r="C131" s="70"/>
      <c r="D131" s="71"/>
      <c r="E131" s="72"/>
      <c r="F131" s="72"/>
      <c r="G131" s="72"/>
      <c r="H131" s="29"/>
      <c r="I131" s="29"/>
      <c r="J131" s="72"/>
      <c r="K131" s="72"/>
      <c r="L131" s="72"/>
      <c r="M131" s="72"/>
      <c r="N131" s="72"/>
      <c r="O131" s="72"/>
      <c r="P131" s="72"/>
    </row>
    <row r="132" spans="1:16">
      <c r="A132" s="70"/>
      <c r="B132" s="167"/>
      <c r="C132" s="70"/>
      <c r="D132" s="71"/>
      <c r="E132" s="72"/>
      <c r="F132" s="72"/>
      <c r="G132" s="72"/>
      <c r="H132" s="29"/>
      <c r="I132" s="29"/>
      <c r="J132" s="72"/>
      <c r="K132" s="72"/>
      <c r="L132" s="72"/>
      <c r="M132" s="72"/>
      <c r="N132" s="72"/>
      <c r="O132" s="72"/>
      <c r="P132" s="72"/>
    </row>
    <row r="133" spans="1:16">
      <c r="A133" s="70"/>
      <c r="B133" s="167"/>
      <c r="C133" s="70"/>
      <c r="D133" s="71"/>
      <c r="E133" s="72"/>
      <c r="F133" s="72"/>
      <c r="G133" s="72"/>
      <c r="H133" s="29"/>
      <c r="I133" s="29"/>
      <c r="J133" s="72"/>
      <c r="K133" s="72"/>
      <c r="L133" s="72"/>
      <c r="M133" s="72"/>
      <c r="N133" s="72"/>
      <c r="O133" s="72"/>
      <c r="P133" s="72"/>
    </row>
    <row r="134" spans="1:16">
      <c r="A134" s="70"/>
      <c r="B134" s="167"/>
      <c r="C134" s="70"/>
      <c r="D134" s="71"/>
      <c r="E134" s="72"/>
      <c r="F134" s="72"/>
      <c r="G134" s="72"/>
      <c r="H134" s="29"/>
      <c r="I134" s="29"/>
      <c r="J134" s="72"/>
      <c r="K134" s="72"/>
      <c r="L134" s="72"/>
      <c r="M134" s="72"/>
      <c r="N134" s="72"/>
      <c r="O134" s="72"/>
      <c r="P134" s="72"/>
    </row>
    <row r="135" spans="1:16">
      <c r="A135" s="70"/>
      <c r="B135" s="167"/>
      <c r="C135" s="70"/>
      <c r="D135" s="71"/>
      <c r="E135" s="72"/>
      <c r="F135" s="72"/>
      <c r="G135" s="72"/>
      <c r="H135" s="29"/>
      <c r="I135" s="29"/>
      <c r="J135" s="72"/>
      <c r="K135" s="72"/>
      <c r="L135" s="72"/>
      <c r="M135" s="72"/>
      <c r="N135" s="72"/>
      <c r="O135" s="72"/>
      <c r="P135" s="72"/>
    </row>
    <row r="136" spans="1:16">
      <c r="A136" s="70"/>
      <c r="B136" s="167"/>
      <c r="C136" s="70"/>
      <c r="D136" s="71"/>
      <c r="E136" s="72"/>
      <c r="F136" s="72"/>
      <c r="G136" s="72"/>
      <c r="H136" s="29"/>
      <c r="I136" s="29"/>
      <c r="J136" s="72"/>
      <c r="K136" s="72"/>
      <c r="L136" s="72"/>
      <c r="M136" s="72"/>
      <c r="N136" s="72"/>
      <c r="O136" s="72"/>
      <c r="P136" s="72"/>
    </row>
    <row r="137" spans="1:16">
      <c r="A137" s="70"/>
      <c r="B137" s="167"/>
      <c r="C137" s="70"/>
      <c r="D137" s="71"/>
      <c r="E137" s="72"/>
      <c r="F137" s="72"/>
      <c r="G137" s="72"/>
      <c r="H137" s="29"/>
      <c r="I137" s="29"/>
      <c r="J137" s="72"/>
      <c r="K137" s="72"/>
      <c r="L137" s="72"/>
      <c r="M137" s="72"/>
      <c r="N137" s="72"/>
      <c r="O137" s="72"/>
      <c r="P137" s="72"/>
    </row>
    <row r="138" spans="1:16">
      <c r="A138" s="70"/>
      <c r="B138" s="167"/>
      <c r="C138" s="70"/>
      <c r="D138" s="71"/>
      <c r="E138" s="72"/>
      <c r="F138" s="72"/>
      <c r="G138" s="72"/>
      <c r="H138" s="29"/>
      <c r="I138" s="29"/>
      <c r="J138" s="72"/>
      <c r="K138" s="72"/>
      <c r="L138" s="72"/>
      <c r="M138" s="72"/>
      <c r="N138" s="72"/>
      <c r="O138" s="72"/>
      <c r="P138" s="72"/>
    </row>
    <row r="139" spans="1:16">
      <c r="A139" s="70"/>
      <c r="B139" s="167"/>
      <c r="C139" s="70"/>
      <c r="D139" s="71"/>
      <c r="E139" s="72"/>
      <c r="F139" s="72"/>
      <c r="G139" s="72"/>
      <c r="H139" s="29"/>
      <c r="I139" s="29"/>
      <c r="J139" s="72"/>
      <c r="K139" s="72"/>
      <c r="L139" s="72"/>
      <c r="M139" s="72"/>
      <c r="N139" s="72"/>
      <c r="O139" s="72"/>
      <c r="P139" s="72"/>
    </row>
    <row r="140" spans="1:16">
      <c r="A140" s="70"/>
      <c r="B140" s="167"/>
      <c r="C140" s="70"/>
      <c r="D140" s="71"/>
      <c r="E140" s="72"/>
      <c r="F140" s="72"/>
      <c r="G140" s="72"/>
      <c r="H140" s="29"/>
      <c r="I140" s="29"/>
      <c r="J140" s="72"/>
      <c r="K140" s="72"/>
      <c r="L140" s="72"/>
      <c r="M140" s="72"/>
      <c r="N140" s="72"/>
      <c r="O140" s="72"/>
      <c r="P140" s="72"/>
    </row>
    <row r="141" spans="1:16">
      <c r="A141" s="70"/>
      <c r="B141" s="167"/>
      <c r="C141" s="70"/>
      <c r="D141" s="71"/>
      <c r="E141" s="72"/>
      <c r="F141" s="72"/>
      <c r="G141" s="72"/>
      <c r="H141" s="29"/>
      <c r="I141" s="29"/>
      <c r="J141" s="72"/>
      <c r="K141" s="72"/>
      <c r="L141" s="72"/>
      <c r="M141" s="72"/>
      <c r="N141" s="72"/>
      <c r="O141" s="72"/>
      <c r="P141" s="72"/>
    </row>
    <row r="142" spans="1:16">
      <c r="A142" s="70"/>
      <c r="B142" s="167"/>
      <c r="C142" s="70"/>
      <c r="D142" s="71"/>
      <c r="E142" s="72"/>
      <c r="F142" s="72"/>
      <c r="G142" s="72"/>
      <c r="H142" s="29"/>
      <c r="I142" s="29"/>
      <c r="J142" s="72"/>
      <c r="K142" s="72"/>
      <c r="L142" s="72"/>
      <c r="M142" s="72"/>
      <c r="N142" s="72"/>
      <c r="O142" s="72"/>
      <c r="P142" s="72"/>
    </row>
    <row r="143" spans="1:16">
      <c r="A143" s="70"/>
      <c r="B143" s="167"/>
      <c r="C143" s="70"/>
      <c r="D143" s="71"/>
      <c r="E143" s="72"/>
      <c r="F143" s="72"/>
      <c r="G143" s="72"/>
      <c r="H143" s="29"/>
      <c r="I143" s="29"/>
      <c r="J143" s="72"/>
      <c r="K143" s="72"/>
      <c r="L143" s="72"/>
      <c r="M143" s="72"/>
      <c r="N143" s="72"/>
      <c r="O143" s="72"/>
      <c r="P143" s="72"/>
    </row>
    <row r="144" spans="1:16">
      <c r="A144" s="70"/>
      <c r="B144" s="167"/>
      <c r="C144" s="70"/>
      <c r="D144" s="71"/>
      <c r="E144" s="72"/>
      <c r="F144" s="72"/>
      <c r="G144" s="72"/>
      <c r="H144" s="29"/>
      <c r="I144" s="29"/>
      <c r="J144" s="72"/>
      <c r="K144" s="72"/>
      <c r="L144" s="72"/>
      <c r="M144" s="72"/>
      <c r="N144" s="72"/>
      <c r="O144" s="72"/>
      <c r="P144" s="72"/>
    </row>
    <row r="145" spans="1:16">
      <c r="A145" s="70"/>
      <c r="B145" s="167"/>
      <c r="C145" s="70"/>
      <c r="D145" s="71"/>
      <c r="E145" s="72"/>
      <c r="F145" s="72"/>
      <c r="G145" s="72"/>
      <c r="H145" s="29"/>
      <c r="I145" s="29"/>
      <c r="J145" s="72"/>
      <c r="K145" s="72"/>
      <c r="L145" s="72"/>
      <c r="M145" s="72"/>
      <c r="N145" s="72"/>
      <c r="O145" s="72"/>
      <c r="P145" s="72"/>
    </row>
    <row r="146" spans="1:16">
      <c r="A146" s="70"/>
      <c r="B146" s="167"/>
      <c r="C146" s="70"/>
      <c r="D146" s="71"/>
      <c r="E146" s="72"/>
      <c r="F146" s="72"/>
      <c r="G146" s="72"/>
      <c r="H146" s="29"/>
      <c r="I146" s="29"/>
      <c r="J146" s="72"/>
      <c r="K146" s="72"/>
      <c r="L146" s="72"/>
      <c r="M146" s="72"/>
      <c r="N146" s="72"/>
      <c r="O146" s="72"/>
      <c r="P146" s="72"/>
    </row>
    <row r="147" spans="1:16">
      <c r="A147" s="70"/>
      <c r="B147" s="167"/>
      <c r="C147" s="70"/>
      <c r="D147" s="71"/>
      <c r="E147" s="72"/>
      <c r="F147" s="72"/>
      <c r="G147" s="72"/>
      <c r="H147" s="29"/>
      <c r="I147" s="29"/>
      <c r="J147" s="72"/>
      <c r="K147" s="72"/>
      <c r="L147" s="72"/>
      <c r="M147" s="72"/>
      <c r="N147" s="72"/>
      <c r="O147" s="72"/>
      <c r="P147" s="72"/>
    </row>
    <row r="148" spans="1:16">
      <c r="A148" s="70"/>
      <c r="B148" s="167"/>
      <c r="C148" s="70"/>
      <c r="D148" s="71"/>
      <c r="E148" s="72"/>
      <c r="F148" s="72"/>
      <c r="G148" s="72"/>
      <c r="H148" s="29"/>
      <c r="I148" s="29"/>
      <c r="J148" s="72"/>
      <c r="K148" s="72"/>
      <c r="L148" s="72"/>
      <c r="M148" s="72"/>
      <c r="N148" s="72"/>
      <c r="O148" s="72"/>
      <c r="P148" s="72"/>
    </row>
    <row r="149" spans="1:16">
      <c r="A149" s="70"/>
      <c r="B149" s="167"/>
      <c r="C149" s="70"/>
      <c r="D149" s="71"/>
      <c r="E149" s="72"/>
      <c r="F149" s="72"/>
      <c r="G149" s="72"/>
      <c r="H149" s="29"/>
      <c r="I149" s="29"/>
      <c r="J149" s="72"/>
      <c r="K149" s="72"/>
      <c r="L149" s="72"/>
      <c r="M149" s="72"/>
      <c r="N149" s="72"/>
      <c r="O149" s="72"/>
      <c r="P149" s="72"/>
    </row>
    <row r="150" spans="1:16">
      <c r="A150" s="70"/>
      <c r="B150" s="167"/>
      <c r="C150" s="70"/>
      <c r="D150" s="71"/>
      <c r="E150" s="72"/>
      <c r="F150" s="72"/>
      <c r="G150" s="72"/>
      <c r="H150" s="29"/>
      <c r="I150" s="29"/>
      <c r="J150" s="72"/>
      <c r="K150" s="72"/>
      <c r="L150" s="72"/>
      <c r="M150" s="72"/>
      <c r="N150" s="72"/>
      <c r="O150" s="72"/>
      <c r="P150" s="72"/>
    </row>
    <row r="151" spans="1:16">
      <c r="A151" s="70"/>
      <c r="B151" s="167"/>
      <c r="C151" s="70"/>
      <c r="D151" s="71"/>
      <c r="E151" s="72"/>
      <c r="F151" s="72"/>
      <c r="G151" s="72"/>
      <c r="H151" s="29"/>
      <c r="I151" s="29"/>
      <c r="J151" s="72"/>
      <c r="K151" s="72"/>
      <c r="L151" s="72"/>
      <c r="M151" s="72"/>
      <c r="N151" s="72"/>
      <c r="O151" s="72"/>
      <c r="P151" s="72"/>
    </row>
    <row r="152" spans="1:16">
      <c r="A152" s="70"/>
      <c r="B152" s="167"/>
      <c r="C152" s="70"/>
      <c r="D152" s="71"/>
      <c r="E152" s="72"/>
      <c r="F152" s="72"/>
      <c r="G152" s="72"/>
      <c r="H152" s="29"/>
      <c r="I152" s="29"/>
      <c r="J152" s="72"/>
      <c r="K152" s="72"/>
      <c r="L152" s="72"/>
      <c r="M152" s="72"/>
      <c r="N152" s="72"/>
      <c r="O152" s="72"/>
      <c r="P152" s="72"/>
    </row>
    <row r="153" spans="1:16">
      <c r="A153" s="70"/>
      <c r="B153" s="167"/>
      <c r="C153" s="70"/>
      <c r="D153" s="71"/>
      <c r="E153" s="72"/>
      <c r="F153" s="72"/>
      <c r="G153" s="72"/>
      <c r="H153" s="29"/>
      <c r="I153" s="29"/>
      <c r="J153" s="72"/>
      <c r="K153" s="72"/>
      <c r="L153" s="72"/>
      <c r="M153" s="72"/>
      <c r="N153" s="72"/>
      <c r="O153" s="72"/>
      <c r="P153" s="72"/>
    </row>
    <row r="154" spans="1:16">
      <c r="A154" s="70"/>
      <c r="B154" s="167"/>
      <c r="C154" s="70"/>
      <c r="D154" s="71"/>
      <c r="E154" s="72"/>
      <c r="F154" s="72"/>
      <c r="G154" s="72"/>
      <c r="H154" s="29"/>
      <c r="I154" s="29"/>
      <c r="J154" s="72"/>
      <c r="K154" s="72"/>
      <c r="L154" s="72"/>
      <c r="M154" s="72"/>
      <c r="N154" s="72"/>
      <c r="O154" s="72"/>
      <c r="P154" s="72"/>
    </row>
    <row r="155" spans="1:16">
      <c r="A155" s="70"/>
      <c r="B155" s="167"/>
      <c r="C155" s="70"/>
      <c r="D155" s="71"/>
      <c r="E155" s="72"/>
      <c r="F155" s="72"/>
      <c r="G155" s="72"/>
      <c r="H155" s="29"/>
      <c r="I155" s="29"/>
      <c r="J155" s="72"/>
      <c r="K155" s="72"/>
      <c r="L155" s="72"/>
      <c r="M155" s="72"/>
      <c r="N155" s="72"/>
      <c r="O155" s="72"/>
      <c r="P155" s="72"/>
    </row>
    <row r="156" spans="1:16">
      <c r="A156" s="70"/>
      <c r="B156" s="167"/>
      <c r="C156" s="70"/>
      <c r="D156" s="71"/>
      <c r="E156" s="72"/>
      <c r="F156" s="72"/>
      <c r="G156" s="72"/>
      <c r="H156" s="29"/>
      <c r="I156" s="29"/>
      <c r="J156" s="72"/>
      <c r="K156" s="72"/>
      <c r="L156" s="72"/>
      <c r="M156" s="72"/>
      <c r="N156" s="72"/>
      <c r="O156" s="72"/>
      <c r="P156" s="72"/>
    </row>
    <row r="157" spans="1:16">
      <c r="A157" s="70"/>
      <c r="B157" s="167"/>
      <c r="C157" s="70"/>
      <c r="D157" s="71"/>
      <c r="E157" s="72"/>
      <c r="F157" s="72"/>
      <c r="G157" s="72"/>
      <c r="H157" s="29"/>
      <c r="I157" s="29"/>
      <c r="J157" s="72"/>
      <c r="K157" s="72"/>
      <c r="L157" s="72"/>
      <c r="M157" s="72"/>
      <c r="N157" s="72"/>
      <c r="O157" s="72"/>
      <c r="P157" s="72"/>
    </row>
    <row r="158" spans="1:16">
      <c r="A158" s="70"/>
      <c r="B158" s="167"/>
      <c r="C158" s="70"/>
      <c r="D158" s="71"/>
      <c r="E158" s="72"/>
      <c r="F158" s="72"/>
      <c r="G158" s="72"/>
      <c r="H158" s="29"/>
      <c r="I158" s="29"/>
      <c r="J158" s="72"/>
      <c r="K158" s="72"/>
      <c r="L158" s="72"/>
      <c r="M158" s="72"/>
      <c r="N158" s="72"/>
      <c r="O158" s="72"/>
      <c r="P158" s="72"/>
    </row>
    <row r="159" spans="1:16">
      <c r="A159" s="70"/>
      <c r="B159" s="167"/>
      <c r="C159" s="70"/>
      <c r="D159" s="71"/>
      <c r="E159" s="72"/>
      <c r="F159" s="72"/>
      <c r="G159" s="72"/>
      <c r="H159" s="29"/>
      <c r="I159" s="29"/>
      <c r="J159" s="72"/>
      <c r="K159" s="72"/>
      <c r="L159" s="72"/>
      <c r="M159" s="72"/>
      <c r="N159" s="72"/>
      <c r="O159" s="72"/>
      <c r="P159" s="72"/>
    </row>
    <row r="160" spans="1:16">
      <c r="A160" s="70"/>
      <c r="B160" s="167"/>
      <c r="C160" s="70"/>
      <c r="D160" s="71"/>
      <c r="E160" s="72"/>
      <c r="F160" s="72"/>
      <c r="G160" s="72"/>
      <c r="H160" s="29"/>
      <c r="I160" s="29"/>
      <c r="J160" s="72"/>
      <c r="K160" s="72"/>
      <c r="L160" s="72"/>
      <c r="M160" s="72"/>
      <c r="N160" s="72"/>
      <c r="O160" s="72"/>
      <c r="P160" s="72"/>
    </row>
    <row r="161" spans="1:16">
      <c r="A161" s="70"/>
      <c r="B161" s="167"/>
      <c r="C161" s="70"/>
      <c r="D161" s="71"/>
      <c r="E161" s="72"/>
      <c r="F161" s="72"/>
      <c r="G161" s="72"/>
      <c r="H161" s="29"/>
      <c r="I161" s="29"/>
      <c r="J161" s="72"/>
      <c r="K161" s="72"/>
      <c r="L161" s="72"/>
      <c r="M161" s="72"/>
      <c r="N161" s="72"/>
      <c r="O161" s="72"/>
      <c r="P161" s="72"/>
    </row>
    <row r="162" spans="1:16">
      <c r="A162" s="70"/>
      <c r="B162" s="167"/>
      <c r="C162" s="70"/>
      <c r="D162" s="71"/>
      <c r="E162" s="72"/>
      <c r="F162" s="72"/>
      <c r="G162" s="72"/>
      <c r="H162" s="29"/>
      <c r="I162" s="29"/>
      <c r="J162" s="72"/>
      <c r="K162" s="72"/>
      <c r="L162" s="72"/>
      <c r="M162" s="72"/>
      <c r="N162" s="72"/>
      <c r="O162" s="72"/>
      <c r="P162" s="72"/>
    </row>
    <row r="163" spans="1:16">
      <c r="A163" s="70"/>
      <c r="B163" s="167"/>
      <c r="C163" s="70"/>
      <c r="D163" s="71"/>
      <c r="E163" s="72"/>
      <c r="F163" s="72"/>
      <c r="G163" s="72"/>
      <c r="H163" s="29"/>
      <c r="I163" s="29"/>
      <c r="J163" s="72"/>
      <c r="K163" s="72"/>
      <c r="L163" s="72"/>
      <c r="M163" s="72"/>
      <c r="N163" s="72"/>
      <c r="O163" s="72"/>
      <c r="P163" s="72"/>
    </row>
    <row r="164" spans="1:16">
      <c r="A164" s="70"/>
      <c r="B164" s="167"/>
      <c r="C164" s="70"/>
      <c r="D164" s="71"/>
      <c r="E164" s="72"/>
      <c r="F164" s="72"/>
      <c r="G164" s="72"/>
      <c r="H164" s="29"/>
      <c r="I164" s="29"/>
      <c r="J164" s="72"/>
      <c r="K164" s="72"/>
      <c r="L164" s="72"/>
      <c r="M164" s="72"/>
      <c r="N164" s="72"/>
      <c r="O164" s="72"/>
      <c r="P164" s="72"/>
    </row>
    <row r="165" spans="1:16">
      <c r="A165" s="70"/>
      <c r="B165" s="167"/>
      <c r="C165" s="70"/>
      <c r="D165" s="71"/>
      <c r="E165" s="72"/>
      <c r="F165" s="72"/>
      <c r="G165" s="72"/>
      <c r="H165" s="29"/>
      <c r="I165" s="29"/>
      <c r="J165" s="72"/>
      <c r="K165" s="72"/>
      <c r="L165" s="72"/>
      <c r="M165" s="72"/>
      <c r="N165" s="72"/>
      <c r="O165" s="72"/>
      <c r="P165" s="72"/>
    </row>
    <row r="166" spans="1:16">
      <c r="A166" s="70"/>
      <c r="B166" s="167"/>
      <c r="C166" s="70"/>
      <c r="D166" s="71"/>
      <c r="E166" s="72"/>
      <c r="F166" s="72"/>
      <c r="G166" s="72"/>
      <c r="H166" s="29"/>
      <c r="I166" s="29"/>
      <c r="J166" s="72"/>
      <c r="K166" s="72"/>
      <c r="L166" s="72"/>
      <c r="M166" s="72"/>
      <c r="N166" s="72"/>
      <c r="O166" s="72"/>
      <c r="P166" s="72"/>
    </row>
    <row r="167" spans="1:16">
      <c r="A167" s="70"/>
      <c r="B167" s="167"/>
      <c r="C167" s="70"/>
      <c r="D167" s="71"/>
      <c r="E167" s="72"/>
      <c r="F167" s="72"/>
      <c r="G167" s="72"/>
      <c r="H167" s="29"/>
      <c r="I167" s="29"/>
      <c r="J167" s="72"/>
      <c r="K167" s="72"/>
      <c r="L167" s="72"/>
      <c r="M167" s="72"/>
      <c r="N167" s="72"/>
      <c r="O167" s="72"/>
      <c r="P167" s="72"/>
    </row>
    <row r="168" spans="1:16">
      <c r="A168" s="70"/>
      <c r="B168" s="167"/>
      <c r="C168" s="70"/>
      <c r="D168" s="71"/>
      <c r="E168" s="72"/>
      <c r="F168" s="72"/>
      <c r="G168" s="72"/>
      <c r="H168" s="29"/>
      <c r="I168" s="29"/>
      <c r="J168" s="72"/>
      <c r="K168" s="72"/>
      <c r="L168" s="72"/>
      <c r="M168" s="72"/>
      <c r="N168" s="72"/>
      <c r="O168" s="72"/>
      <c r="P168" s="72"/>
    </row>
    <row r="169" spans="1:16">
      <c r="A169" s="70"/>
      <c r="B169" s="167"/>
      <c r="C169" s="70"/>
      <c r="D169" s="71"/>
      <c r="E169" s="72"/>
      <c r="F169" s="72"/>
      <c r="G169" s="72"/>
      <c r="H169" s="29"/>
      <c r="I169" s="29"/>
      <c r="J169" s="72"/>
      <c r="K169" s="72"/>
      <c r="L169" s="72"/>
      <c r="M169" s="72"/>
      <c r="N169" s="72"/>
      <c r="O169" s="72"/>
      <c r="P169" s="72"/>
    </row>
    <row r="170" spans="1:16">
      <c r="A170" s="70"/>
      <c r="B170" s="167"/>
      <c r="C170" s="70"/>
      <c r="D170" s="71"/>
      <c r="E170" s="72"/>
      <c r="F170" s="72"/>
      <c r="G170" s="72"/>
      <c r="H170" s="29"/>
      <c r="I170" s="29"/>
      <c r="J170" s="72"/>
      <c r="K170" s="72"/>
      <c r="L170" s="72"/>
      <c r="M170" s="72"/>
      <c r="N170" s="72"/>
      <c r="O170" s="72"/>
      <c r="P170" s="72"/>
    </row>
    <row r="171" spans="1:16">
      <c r="A171" s="70"/>
      <c r="B171" s="167"/>
      <c r="C171" s="70"/>
      <c r="D171" s="71"/>
      <c r="E171" s="72"/>
      <c r="F171" s="72"/>
      <c r="G171" s="72"/>
      <c r="H171" s="29"/>
      <c r="I171" s="29"/>
      <c r="J171" s="72"/>
      <c r="K171" s="72"/>
      <c r="L171" s="72"/>
      <c r="M171" s="72"/>
      <c r="N171" s="72"/>
      <c r="O171" s="72"/>
      <c r="P171" s="72"/>
    </row>
    <row r="172" spans="1:16">
      <c r="A172" s="70"/>
      <c r="B172" s="167"/>
      <c r="C172" s="70"/>
      <c r="D172" s="71"/>
      <c r="E172" s="72"/>
      <c r="F172" s="72"/>
      <c r="G172" s="72"/>
      <c r="H172" s="29"/>
      <c r="I172" s="29"/>
      <c r="J172" s="72"/>
      <c r="K172" s="72"/>
      <c r="L172" s="72"/>
      <c r="M172" s="72"/>
      <c r="N172" s="72"/>
      <c r="O172" s="72"/>
      <c r="P172" s="72"/>
    </row>
    <row r="173" spans="1:16">
      <c r="A173" s="70"/>
      <c r="B173" s="167"/>
      <c r="C173" s="70"/>
      <c r="D173" s="71"/>
      <c r="E173" s="72"/>
      <c r="F173" s="72"/>
      <c r="G173" s="72"/>
      <c r="H173" s="29"/>
      <c r="I173" s="29"/>
      <c r="J173" s="72"/>
      <c r="K173" s="72"/>
      <c r="L173" s="72"/>
      <c r="M173" s="72"/>
      <c r="N173" s="72"/>
      <c r="O173" s="72"/>
      <c r="P173" s="72"/>
    </row>
    <row r="174" spans="1:16">
      <c r="A174" s="70"/>
      <c r="B174" s="167"/>
      <c r="C174" s="70"/>
      <c r="D174" s="71"/>
      <c r="E174" s="72"/>
      <c r="F174" s="72"/>
      <c r="G174" s="72"/>
      <c r="H174" s="29"/>
      <c r="I174" s="29"/>
      <c r="J174" s="72"/>
      <c r="K174" s="72"/>
      <c r="L174" s="72"/>
      <c r="M174" s="72"/>
      <c r="N174" s="72"/>
      <c r="O174" s="72"/>
      <c r="P174" s="72"/>
    </row>
    <row r="175" spans="1:16">
      <c r="A175" s="70"/>
      <c r="B175" s="167"/>
      <c r="C175" s="70"/>
      <c r="D175" s="71"/>
      <c r="E175" s="72"/>
      <c r="F175" s="72"/>
      <c r="G175" s="72"/>
      <c r="H175" s="29"/>
      <c r="I175" s="29"/>
      <c r="J175" s="72"/>
      <c r="K175" s="72"/>
      <c r="L175" s="72"/>
      <c r="M175" s="72"/>
      <c r="N175" s="72"/>
      <c r="O175" s="72"/>
      <c r="P175" s="72"/>
    </row>
    <row r="176" spans="1:16">
      <c r="A176" s="70"/>
      <c r="B176" s="167"/>
      <c r="C176" s="70"/>
      <c r="D176" s="71"/>
      <c r="E176" s="72"/>
      <c r="F176" s="72"/>
      <c r="G176" s="72"/>
      <c r="H176" s="29"/>
      <c r="I176" s="29"/>
      <c r="J176" s="72"/>
      <c r="K176" s="72"/>
      <c r="L176" s="72"/>
      <c r="M176" s="72"/>
      <c r="N176" s="72"/>
      <c r="O176" s="72"/>
      <c r="P176" s="72"/>
    </row>
    <row r="177" spans="1:16">
      <c r="A177" s="70"/>
      <c r="B177" s="167"/>
      <c r="C177" s="70"/>
      <c r="D177" s="71"/>
      <c r="E177" s="72"/>
      <c r="F177" s="72"/>
      <c r="G177" s="72"/>
      <c r="H177" s="29"/>
      <c r="I177" s="29"/>
      <c r="J177" s="72"/>
      <c r="K177" s="72"/>
      <c r="L177" s="72"/>
      <c r="M177" s="72"/>
      <c r="N177" s="72"/>
      <c r="O177" s="72"/>
      <c r="P177" s="72"/>
    </row>
    <row r="178" spans="1:16">
      <c r="A178" s="70"/>
      <c r="B178" s="167"/>
      <c r="C178" s="70"/>
      <c r="D178" s="71"/>
      <c r="E178" s="72"/>
      <c r="F178" s="72"/>
      <c r="G178" s="72"/>
      <c r="H178" s="29"/>
      <c r="I178" s="29"/>
      <c r="J178" s="72"/>
      <c r="K178" s="72"/>
      <c r="L178" s="72"/>
      <c r="M178" s="72"/>
      <c r="N178" s="72"/>
      <c r="O178" s="72"/>
      <c r="P178" s="72"/>
    </row>
    <row r="179" spans="1:16">
      <c r="A179" s="70"/>
      <c r="B179" s="167"/>
      <c r="C179" s="70"/>
      <c r="D179" s="71"/>
      <c r="E179" s="72"/>
      <c r="F179" s="72"/>
      <c r="G179" s="72"/>
      <c r="H179" s="29"/>
      <c r="I179" s="29"/>
      <c r="J179" s="72"/>
      <c r="K179" s="72"/>
      <c r="L179" s="72"/>
      <c r="M179" s="72"/>
      <c r="N179" s="72"/>
      <c r="O179" s="72"/>
      <c r="P179" s="72"/>
    </row>
    <row r="180" spans="1:16">
      <c r="A180" s="70"/>
      <c r="B180" s="167"/>
      <c r="C180" s="70"/>
      <c r="D180" s="71"/>
      <c r="E180" s="72"/>
      <c r="F180" s="72"/>
      <c r="G180" s="72"/>
      <c r="H180" s="29"/>
      <c r="I180" s="29"/>
      <c r="J180" s="72"/>
      <c r="K180" s="72"/>
      <c r="L180" s="72"/>
      <c r="M180" s="72"/>
      <c r="N180" s="72"/>
      <c r="O180" s="72"/>
      <c r="P180" s="72"/>
    </row>
    <row r="181" spans="1:16">
      <c r="A181" s="70"/>
      <c r="B181" s="167"/>
      <c r="C181" s="70"/>
      <c r="D181" s="71"/>
      <c r="E181" s="72"/>
      <c r="F181" s="72"/>
      <c r="G181" s="72"/>
      <c r="H181" s="29"/>
      <c r="I181" s="29"/>
      <c r="J181" s="72"/>
      <c r="K181" s="72"/>
      <c r="L181" s="72"/>
      <c r="M181" s="72"/>
      <c r="N181" s="72"/>
      <c r="O181" s="72"/>
      <c r="P181" s="72"/>
    </row>
    <row r="182" spans="1:16">
      <c r="A182" s="70"/>
      <c r="B182" s="167"/>
      <c r="C182" s="70"/>
      <c r="D182" s="71"/>
      <c r="E182" s="72"/>
      <c r="F182" s="72"/>
      <c r="G182" s="72"/>
      <c r="H182" s="29"/>
      <c r="I182" s="29"/>
      <c r="J182" s="72"/>
      <c r="K182" s="72"/>
      <c r="L182" s="72"/>
      <c r="M182" s="72"/>
      <c r="N182" s="72"/>
      <c r="O182" s="72"/>
      <c r="P182" s="72"/>
    </row>
    <row r="183" spans="1:16">
      <c r="A183" s="70"/>
      <c r="B183" s="167"/>
      <c r="C183" s="70"/>
      <c r="D183" s="71"/>
      <c r="E183" s="72"/>
      <c r="F183" s="72"/>
      <c r="G183" s="72"/>
      <c r="H183" s="29"/>
      <c r="I183" s="29"/>
      <c r="J183" s="72"/>
      <c r="K183" s="72"/>
      <c r="L183" s="72"/>
      <c r="M183" s="72"/>
      <c r="N183" s="72"/>
      <c r="O183" s="72"/>
      <c r="P183" s="72"/>
    </row>
    <row r="184" spans="1:16">
      <c r="A184" s="70"/>
      <c r="B184" s="167"/>
      <c r="C184" s="70"/>
      <c r="D184" s="71"/>
      <c r="E184" s="72"/>
      <c r="F184" s="72"/>
      <c r="G184" s="72"/>
      <c r="H184" s="29"/>
      <c r="I184" s="29"/>
      <c r="J184" s="72"/>
      <c r="K184" s="72"/>
      <c r="L184" s="72"/>
      <c r="M184" s="72"/>
      <c r="N184" s="72"/>
      <c r="O184" s="72"/>
      <c r="P184" s="72"/>
    </row>
    <row r="185" spans="1:16">
      <c r="A185" s="70"/>
      <c r="B185" s="167"/>
      <c r="C185" s="70"/>
      <c r="D185" s="71"/>
      <c r="E185" s="72"/>
      <c r="F185" s="72"/>
      <c r="G185" s="72"/>
      <c r="H185" s="29"/>
      <c r="I185" s="29"/>
      <c r="J185" s="72"/>
      <c r="K185" s="72"/>
      <c r="L185" s="72"/>
      <c r="M185" s="72"/>
      <c r="N185" s="72"/>
      <c r="O185" s="72"/>
      <c r="P185" s="72"/>
    </row>
    <row r="186" spans="1:16">
      <c r="A186" s="70"/>
      <c r="B186" s="167"/>
      <c r="C186" s="70"/>
      <c r="D186" s="71"/>
      <c r="E186" s="72"/>
      <c r="F186" s="72"/>
      <c r="G186" s="72"/>
      <c r="H186" s="29"/>
      <c r="I186" s="29"/>
      <c r="J186" s="72"/>
      <c r="K186" s="72"/>
      <c r="L186" s="72"/>
      <c r="M186" s="72"/>
      <c r="N186" s="72"/>
      <c r="O186" s="72"/>
      <c r="P186" s="72"/>
    </row>
    <row r="187" spans="1:16">
      <c r="A187" s="70"/>
      <c r="B187" s="167"/>
      <c r="C187" s="70"/>
      <c r="D187" s="71"/>
      <c r="E187" s="72"/>
      <c r="F187" s="72"/>
      <c r="G187" s="72"/>
      <c r="H187" s="29"/>
      <c r="I187" s="29"/>
      <c r="J187" s="72"/>
      <c r="K187" s="72"/>
      <c r="L187" s="72"/>
      <c r="M187" s="72"/>
      <c r="N187" s="72"/>
      <c r="O187" s="72"/>
      <c r="P187" s="72"/>
    </row>
    <row r="188" spans="1:16">
      <c r="A188" s="70"/>
      <c r="B188" s="167"/>
      <c r="C188" s="70"/>
      <c r="D188" s="71"/>
      <c r="E188" s="72"/>
      <c r="F188" s="72"/>
      <c r="G188" s="72"/>
      <c r="H188" s="29"/>
      <c r="I188" s="29"/>
      <c r="J188" s="72"/>
      <c r="K188" s="72"/>
      <c r="L188" s="72"/>
      <c r="M188" s="72"/>
      <c r="N188" s="72"/>
      <c r="O188" s="72"/>
      <c r="P188" s="72"/>
    </row>
    <row r="189" spans="1:16">
      <c r="A189" s="70"/>
      <c r="B189" s="167"/>
      <c r="C189" s="70"/>
      <c r="D189" s="71"/>
      <c r="E189" s="72"/>
      <c r="F189" s="72"/>
      <c r="G189" s="72"/>
      <c r="H189" s="29"/>
      <c r="I189" s="29"/>
      <c r="J189" s="72"/>
      <c r="K189" s="72"/>
      <c r="L189" s="72"/>
      <c r="M189" s="72"/>
      <c r="N189" s="72"/>
      <c r="O189" s="72"/>
      <c r="P189" s="72"/>
    </row>
    <row r="190" spans="1:16">
      <c r="A190" s="70"/>
      <c r="B190" s="167"/>
      <c r="C190" s="70"/>
      <c r="D190" s="71"/>
      <c r="E190" s="72"/>
      <c r="F190" s="72"/>
      <c r="G190" s="72"/>
      <c r="H190" s="29"/>
      <c r="I190" s="29"/>
      <c r="J190" s="72"/>
      <c r="K190" s="72"/>
      <c r="L190" s="72"/>
      <c r="M190" s="72"/>
      <c r="N190" s="72"/>
      <c r="O190" s="72"/>
      <c r="P190" s="72"/>
    </row>
    <row r="191" spans="1:16">
      <c r="A191" s="70"/>
      <c r="B191" s="167"/>
      <c r="C191" s="70"/>
      <c r="D191" s="71"/>
      <c r="E191" s="72"/>
      <c r="F191" s="72"/>
      <c r="G191" s="72"/>
      <c r="H191" s="29"/>
      <c r="I191" s="29"/>
      <c r="J191" s="72"/>
      <c r="K191" s="72"/>
      <c r="L191" s="72"/>
      <c r="M191" s="72"/>
      <c r="N191" s="72"/>
      <c r="O191" s="72"/>
      <c r="P191" s="72"/>
    </row>
    <row r="192" spans="1:16">
      <c r="A192" s="70"/>
      <c r="B192" s="167"/>
      <c r="C192" s="70"/>
      <c r="D192" s="71"/>
      <c r="E192" s="72"/>
      <c r="F192" s="72"/>
      <c r="G192" s="72"/>
      <c r="H192" s="29"/>
      <c r="I192" s="29"/>
      <c r="J192" s="72"/>
      <c r="K192" s="72"/>
      <c r="L192" s="72"/>
      <c r="M192" s="72"/>
      <c r="N192" s="72"/>
      <c r="O192" s="72"/>
      <c r="P192" s="72"/>
    </row>
    <row r="193" spans="1:16">
      <c r="A193" s="70"/>
      <c r="B193" s="167"/>
      <c r="C193" s="70"/>
      <c r="D193" s="71"/>
      <c r="E193" s="72"/>
      <c r="F193" s="72"/>
      <c r="G193" s="72"/>
      <c r="H193" s="29"/>
      <c r="I193" s="29"/>
      <c r="J193" s="72"/>
      <c r="K193" s="72"/>
      <c r="L193" s="72"/>
      <c r="M193" s="72"/>
      <c r="N193" s="72"/>
      <c r="O193" s="72"/>
      <c r="P193" s="72"/>
    </row>
    <row r="194" spans="1:16">
      <c r="A194" s="70"/>
      <c r="B194" s="167"/>
      <c r="C194" s="70"/>
      <c r="D194" s="71"/>
      <c r="E194" s="72"/>
      <c r="F194" s="72"/>
      <c r="G194" s="72"/>
      <c r="H194" s="29"/>
      <c r="I194" s="29"/>
      <c r="J194" s="72"/>
      <c r="K194" s="72"/>
      <c r="L194" s="72"/>
      <c r="M194" s="72"/>
      <c r="N194" s="72"/>
      <c r="O194" s="72"/>
      <c r="P194" s="72"/>
    </row>
    <row r="195" spans="1:16">
      <c r="A195" s="70"/>
      <c r="B195" s="167"/>
      <c r="C195" s="70"/>
      <c r="D195" s="71"/>
      <c r="E195" s="72"/>
      <c r="F195" s="72"/>
      <c r="G195" s="72"/>
      <c r="H195" s="29"/>
      <c r="I195" s="29"/>
      <c r="J195" s="72"/>
      <c r="K195" s="72"/>
      <c r="L195" s="72"/>
      <c r="M195" s="72"/>
      <c r="N195" s="72"/>
      <c r="O195" s="72"/>
      <c r="P195" s="72"/>
    </row>
    <row r="196" spans="1:16">
      <c r="A196" s="70"/>
      <c r="B196" s="167"/>
      <c r="C196" s="70"/>
      <c r="D196" s="71"/>
      <c r="E196" s="72"/>
      <c r="F196" s="72"/>
      <c r="G196" s="72"/>
      <c r="H196" s="29"/>
      <c r="I196" s="29"/>
      <c r="J196" s="72"/>
      <c r="K196" s="72"/>
      <c r="L196" s="72"/>
      <c r="M196" s="72"/>
      <c r="N196" s="72"/>
      <c r="O196" s="72"/>
      <c r="P196" s="72"/>
    </row>
    <row r="197" spans="1:16">
      <c r="A197" s="70"/>
      <c r="B197" s="167"/>
      <c r="C197" s="70"/>
      <c r="D197" s="71"/>
      <c r="E197" s="72"/>
      <c r="F197" s="72"/>
      <c r="G197" s="72"/>
      <c r="H197" s="29"/>
      <c r="I197" s="29"/>
      <c r="J197" s="72"/>
      <c r="K197" s="72"/>
      <c r="L197" s="72"/>
      <c r="M197" s="72"/>
      <c r="N197" s="72"/>
      <c r="O197" s="72"/>
      <c r="P197" s="72"/>
    </row>
    <row r="198" spans="1:16">
      <c r="A198" s="70"/>
      <c r="B198" s="167"/>
      <c r="C198" s="70"/>
      <c r="D198" s="71"/>
      <c r="E198" s="72"/>
      <c r="F198" s="72"/>
      <c r="G198" s="72"/>
      <c r="H198" s="29"/>
      <c r="I198" s="29"/>
      <c r="J198" s="72"/>
      <c r="K198" s="72"/>
      <c r="L198" s="72"/>
      <c r="M198" s="72"/>
      <c r="N198" s="72"/>
      <c r="O198" s="72"/>
      <c r="P198" s="72"/>
    </row>
    <row r="199" spans="1:16">
      <c r="A199" s="70"/>
      <c r="B199" s="167"/>
      <c r="C199" s="70"/>
      <c r="D199" s="71"/>
      <c r="E199" s="72"/>
      <c r="F199" s="72"/>
      <c r="G199" s="72"/>
      <c r="H199" s="29"/>
      <c r="I199" s="29"/>
      <c r="J199" s="72"/>
      <c r="K199" s="72"/>
      <c r="L199" s="72"/>
      <c r="M199" s="72"/>
      <c r="N199" s="72"/>
      <c r="O199" s="72"/>
      <c r="P199" s="72"/>
    </row>
    <row r="200" spans="1:16">
      <c r="A200" s="70"/>
      <c r="B200" s="167"/>
      <c r="C200" s="70"/>
      <c r="D200" s="71"/>
      <c r="E200" s="72"/>
      <c r="F200" s="72"/>
      <c r="G200" s="72"/>
      <c r="H200" s="29"/>
      <c r="I200" s="29"/>
      <c r="J200" s="72"/>
      <c r="K200" s="72"/>
      <c r="L200" s="72"/>
      <c r="M200" s="72"/>
      <c r="N200" s="72"/>
      <c r="O200" s="72"/>
      <c r="P200" s="72"/>
    </row>
    <row r="201" spans="1:16">
      <c r="A201" s="70"/>
      <c r="B201" s="167"/>
      <c r="C201" s="70"/>
      <c r="D201" s="71"/>
      <c r="E201" s="72"/>
      <c r="F201" s="72"/>
      <c r="G201" s="72"/>
      <c r="H201" s="29"/>
      <c r="I201" s="29"/>
      <c r="J201" s="72"/>
      <c r="K201" s="72"/>
      <c r="L201" s="72"/>
      <c r="M201" s="72"/>
      <c r="N201" s="72"/>
      <c r="O201" s="72"/>
      <c r="P201" s="72"/>
    </row>
    <row r="202" spans="1:16">
      <c r="A202" s="70"/>
      <c r="B202" s="167"/>
      <c r="C202" s="70"/>
      <c r="D202" s="71"/>
      <c r="E202" s="72"/>
      <c r="F202" s="72"/>
      <c r="G202" s="72"/>
      <c r="H202" s="29"/>
      <c r="I202" s="29"/>
      <c r="J202" s="72"/>
      <c r="K202" s="72"/>
      <c r="L202" s="72"/>
      <c r="M202" s="72"/>
      <c r="N202" s="72"/>
      <c r="O202" s="72"/>
      <c r="P202" s="72"/>
    </row>
    <row r="203" spans="1:16">
      <c r="A203" s="70"/>
      <c r="B203" s="167"/>
      <c r="C203" s="70"/>
      <c r="D203" s="71"/>
      <c r="E203" s="72"/>
      <c r="F203" s="72"/>
      <c r="G203" s="72"/>
      <c r="H203" s="29"/>
      <c r="I203" s="29"/>
      <c r="J203" s="72"/>
      <c r="K203" s="72"/>
      <c r="L203" s="72"/>
      <c r="M203" s="72"/>
      <c r="N203" s="72"/>
      <c r="O203" s="72"/>
      <c r="P203" s="72"/>
    </row>
    <row r="204" spans="1:16">
      <c r="A204" s="70"/>
      <c r="B204" s="167"/>
      <c r="C204" s="70"/>
      <c r="D204" s="71"/>
      <c r="E204" s="72"/>
      <c r="F204" s="72"/>
      <c r="G204" s="72"/>
      <c r="H204" s="29"/>
      <c r="I204" s="29"/>
      <c r="J204" s="72"/>
      <c r="K204" s="72"/>
      <c r="L204" s="72"/>
      <c r="M204" s="72"/>
      <c r="N204" s="72"/>
      <c r="O204" s="72"/>
      <c r="P204" s="72"/>
    </row>
    <row r="205" spans="1:16">
      <c r="A205" s="70"/>
      <c r="B205" s="167"/>
      <c r="C205" s="70"/>
      <c r="D205" s="71"/>
      <c r="E205" s="72"/>
      <c r="F205" s="72"/>
      <c r="G205" s="72"/>
      <c r="H205" s="29"/>
      <c r="I205" s="29"/>
      <c r="J205" s="72"/>
      <c r="K205" s="72"/>
      <c r="L205" s="72"/>
      <c r="M205" s="72"/>
      <c r="N205" s="72"/>
      <c r="O205" s="72"/>
      <c r="P205" s="72"/>
    </row>
    <row r="206" spans="1:16">
      <c r="A206" s="70"/>
      <c r="B206" s="167"/>
      <c r="C206" s="70"/>
      <c r="D206" s="71"/>
      <c r="E206" s="72"/>
      <c r="F206" s="72"/>
      <c r="G206" s="72"/>
      <c r="H206" s="29"/>
      <c r="I206" s="29"/>
      <c r="J206" s="72"/>
      <c r="K206" s="72"/>
      <c r="L206" s="72"/>
      <c r="M206" s="72"/>
      <c r="N206" s="72"/>
      <c r="O206" s="72"/>
      <c r="P206" s="72"/>
    </row>
    <row r="207" spans="1:16">
      <c r="A207" s="70"/>
      <c r="B207" s="167"/>
      <c r="C207" s="70"/>
      <c r="D207" s="71"/>
      <c r="E207" s="72"/>
      <c r="F207" s="72"/>
      <c r="G207" s="72"/>
      <c r="H207" s="29"/>
      <c r="I207" s="29"/>
      <c r="J207" s="72"/>
      <c r="K207" s="72"/>
      <c r="L207" s="72"/>
      <c r="M207" s="72"/>
      <c r="N207" s="72"/>
      <c r="O207" s="72"/>
      <c r="P207" s="72"/>
    </row>
    <row r="208" spans="1:16">
      <c r="A208" s="70"/>
      <c r="B208" s="167"/>
      <c r="C208" s="70"/>
      <c r="D208" s="71"/>
      <c r="E208" s="72"/>
      <c r="F208" s="72"/>
      <c r="G208" s="72"/>
      <c r="H208" s="29"/>
      <c r="I208" s="29"/>
      <c r="J208" s="72"/>
      <c r="K208" s="72"/>
      <c r="L208" s="72"/>
      <c r="M208" s="72"/>
      <c r="N208" s="72"/>
      <c r="O208" s="72"/>
      <c r="P208" s="72"/>
    </row>
    <row r="209" spans="1:16">
      <c r="A209" s="70"/>
      <c r="B209" s="167"/>
      <c r="C209" s="70"/>
      <c r="D209" s="71"/>
      <c r="E209" s="72"/>
      <c r="F209" s="72"/>
      <c r="G209" s="72"/>
      <c r="H209" s="29"/>
      <c r="I209" s="29"/>
      <c r="J209" s="72"/>
      <c r="K209" s="72"/>
      <c r="L209" s="72"/>
      <c r="M209" s="72"/>
      <c r="N209" s="72"/>
      <c r="O209" s="72"/>
      <c r="P209" s="72"/>
    </row>
    <row r="210" spans="1:16">
      <c r="A210" s="70"/>
      <c r="B210" s="167"/>
      <c r="C210" s="70"/>
      <c r="D210" s="71"/>
      <c r="E210" s="72"/>
      <c r="F210" s="72"/>
      <c r="G210" s="72"/>
      <c r="H210" s="29"/>
      <c r="I210" s="29"/>
      <c r="J210" s="72"/>
      <c r="K210" s="72"/>
      <c r="L210" s="72"/>
      <c r="M210" s="72"/>
      <c r="N210" s="72"/>
      <c r="O210" s="72"/>
      <c r="P210" s="72"/>
    </row>
    <row r="211" spans="1:16">
      <c r="A211" s="70"/>
      <c r="B211" s="167"/>
      <c r="C211" s="70"/>
      <c r="D211" s="71"/>
      <c r="E211" s="72"/>
      <c r="F211" s="72"/>
      <c r="G211" s="72"/>
      <c r="H211" s="29"/>
      <c r="I211" s="29"/>
      <c r="J211" s="72"/>
      <c r="K211" s="72"/>
      <c r="L211" s="72"/>
      <c r="M211" s="72"/>
      <c r="N211" s="72"/>
      <c r="O211" s="72"/>
      <c r="P211" s="72"/>
    </row>
    <row r="212" spans="1:16">
      <c r="A212" s="70"/>
      <c r="B212" s="167"/>
      <c r="C212" s="70"/>
      <c r="D212" s="71"/>
      <c r="E212" s="72"/>
      <c r="F212" s="72"/>
      <c r="G212" s="72"/>
      <c r="H212" s="29"/>
      <c r="I212" s="29"/>
      <c r="J212" s="72"/>
      <c r="K212" s="72"/>
      <c r="L212" s="72"/>
      <c r="M212" s="72"/>
      <c r="N212" s="72"/>
      <c r="O212" s="72"/>
      <c r="P212" s="72"/>
    </row>
    <row r="213" spans="1:16">
      <c r="A213" s="70"/>
      <c r="B213" s="167"/>
      <c r="C213" s="70"/>
      <c r="D213" s="71"/>
      <c r="E213" s="72"/>
      <c r="F213" s="72"/>
      <c r="G213" s="72"/>
      <c r="H213" s="29"/>
      <c r="I213" s="29"/>
      <c r="J213" s="72"/>
      <c r="K213" s="72"/>
      <c r="L213" s="72"/>
      <c r="M213" s="72"/>
      <c r="N213" s="72"/>
      <c r="O213" s="72"/>
      <c r="P213" s="72"/>
    </row>
    <row r="214" spans="1:16">
      <c r="A214" s="70"/>
      <c r="B214" s="167"/>
      <c r="C214" s="70"/>
      <c r="D214" s="71"/>
      <c r="E214" s="72"/>
      <c r="F214" s="72"/>
      <c r="G214" s="72"/>
      <c r="H214" s="29"/>
      <c r="I214" s="29"/>
      <c r="J214" s="72"/>
      <c r="K214" s="72"/>
      <c r="L214" s="72"/>
      <c r="M214" s="72"/>
      <c r="N214" s="72"/>
      <c r="O214" s="72"/>
      <c r="P214" s="72"/>
    </row>
    <row r="215" spans="1:16">
      <c r="A215" s="70"/>
      <c r="B215" s="167"/>
      <c r="C215" s="70"/>
      <c r="D215" s="71"/>
      <c r="E215" s="72"/>
      <c r="F215" s="72"/>
      <c r="G215" s="72"/>
      <c r="H215" s="29"/>
      <c r="I215" s="29"/>
      <c r="J215" s="72"/>
      <c r="K215" s="72"/>
      <c r="L215" s="72"/>
      <c r="M215" s="72"/>
      <c r="N215" s="72"/>
      <c r="O215" s="72"/>
      <c r="P215" s="72"/>
    </row>
    <row r="216" spans="1:16">
      <c r="A216" s="70"/>
      <c r="B216" s="167"/>
      <c r="C216" s="70"/>
      <c r="D216" s="71"/>
      <c r="E216" s="72"/>
      <c r="F216" s="72"/>
      <c r="G216" s="72"/>
      <c r="H216" s="29"/>
      <c r="I216" s="29"/>
      <c r="J216" s="72"/>
      <c r="K216" s="72"/>
      <c r="L216" s="72"/>
      <c r="M216" s="72"/>
      <c r="N216" s="72"/>
      <c r="O216" s="72"/>
      <c r="P216" s="72"/>
    </row>
    <row r="217" spans="1:16">
      <c r="A217" s="70"/>
      <c r="B217" s="167"/>
      <c r="C217" s="70"/>
      <c r="D217" s="71"/>
      <c r="E217" s="72"/>
      <c r="F217" s="72"/>
      <c r="G217" s="72"/>
      <c r="H217" s="29"/>
      <c r="I217" s="29"/>
      <c r="J217" s="72"/>
      <c r="K217" s="72"/>
      <c r="L217" s="72"/>
      <c r="M217" s="72"/>
      <c r="N217" s="72"/>
      <c r="O217" s="72"/>
      <c r="P217" s="72"/>
    </row>
    <row r="218" spans="1:16">
      <c r="A218" s="70"/>
      <c r="B218" s="167"/>
      <c r="C218" s="70"/>
      <c r="D218" s="71"/>
      <c r="E218" s="72"/>
      <c r="F218" s="72"/>
      <c r="G218" s="72"/>
      <c r="H218" s="29"/>
      <c r="I218" s="29"/>
      <c r="J218" s="72"/>
      <c r="K218" s="72"/>
      <c r="L218" s="72"/>
      <c r="M218" s="72"/>
      <c r="N218" s="72"/>
      <c r="O218" s="72"/>
      <c r="P218" s="72"/>
    </row>
    <row r="219" spans="1:16">
      <c r="A219" s="70"/>
      <c r="B219" s="167"/>
      <c r="C219" s="70"/>
      <c r="D219" s="71"/>
      <c r="E219" s="72"/>
      <c r="F219" s="72"/>
      <c r="G219" s="72"/>
      <c r="H219" s="29"/>
      <c r="I219" s="29"/>
      <c r="J219" s="72"/>
      <c r="K219" s="72"/>
      <c r="L219" s="72"/>
      <c r="M219" s="72"/>
      <c r="N219" s="72"/>
      <c r="O219" s="72"/>
      <c r="P219" s="72"/>
    </row>
    <row r="220" spans="1:16">
      <c r="A220" s="70"/>
      <c r="B220" s="167"/>
      <c r="C220" s="70"/>
      <c r="D220" s="71"/>
      <c r="E220" s="72"/>
      <c r="F220" s="72"/>
      <c r="G220" s="72"/>
      <c r="H220" s="29"/>
      <c r="I220" s="29"/>
      <c r="J220" s="72"/>
      <c r="K220" s="72"/>
      <c r="L220" s="72"/>
      <c r="M220" s="72"/>
      <c r="N220" s="72"/>
      <c r="O220" s="72"/>
      <c r="P220" s="72"/>
    </row>
    <row r="221" spans="1:16">
      <c r="A221" s="70"/>
      <c r="B221" s="167"/>
      <c r="C221" s="70"/>
      <c r="D221" s="71"/>
      <c r="E221" s="72"/>
      <c r="F221" s="72"/>
      <c r="G221" s="72"/>
      <c r="H221" s="29"/>
      <c r="I221" s="29"/>
      <c r="J221" s="72"/>
      <c r="K221" s="72"/>
      <c r="L221" s="72"/>
      <c r="M221" s="72"/>
      <c r="N221" s="72"/>
      <c r="O221" s="72"/>
      <c r="P221" s="72"/>
    </row>
    <row r="222" spans="1:16">
      <c r="A222" s="70"/>
      <c r="B222" s="167"/>
      <c r="C222" s="70"/>
      <c r="D222" s="71"/>
      <c r="E222" s="72"/>
      <c r="F222" s="72"/>
      <c r="G222" s="72"/>
      <c r="H222" s="29"/>
      <c r="I222" s="29"/>
      <c r="J222" s="72"/>
      <c r="K222" s="72"/>
      <c r="L222" s="72"/>
      <c r="M222" s="72"/>
      <c r="N222" s="72"/>
      <c r="O222" s="72"/>
      <c r="P222" s="72"/>
    </row>
    <row r="223" spans="1:16">
      <c r="A223" s="70"/>
      <c r="B223" s="167"/>
      <c r="C223" s="70"/>
      <c r="D223" s="71"/>
      <c r="E223" s="72"/>
      <c r="F223" s="72"/>
      <c r="G223" s="72"/>
      <c r="H223" s="29"/>
      <c r="I223" s="29"/>
      <c r="J223" s="72"/>
      <c r="K223" s="72"/>
      <c r="L223" s="72"/>
      <c r="M223" s="72"/>
      <c r="N223" s="72"/>
      <c r="O223" s="72"/>
      <c r="P223" s="72"/>
    </row>
    <row r="224" spans="1:16">
      <c r="A224" s="70"/>
      <c r="B224" s="167"/>
      <c r="C224" s="70"/>
      <c r="D224" s="71"/>
      <c r="E224" s="72"/>
      <c r="F224" s="72"/>
      <c r="G224" s="72"/>
      <c r="H224" s="29"/>
      <c r="I224" s="29"/>
      <c r="J224" s="72"/>
      <c r="K224" s="72"/>
      <c r="L224" s="72"/>
      <c r="M224" s="72"/>
      <c r="N224" s="72"/>
      <c r="O224" s="72"/>
      <c r="P224" s="72"/>
    </row>
    <row r="225" spans="1:16">
      <c r="A225" s="70"/>
      <c r="B225" s="167"/>
      <c r="C225" s="70"/>
      <c r="D225" s="71"/>
      <c r="E225" s="72"/>
      <c r="F225" s="72"/>
      <c r="G225" s="72"/>
      <c r="H225" s="29"/>
      <c r="I225" s="29"/>
      <c r="J225" s="72"/>
      <c r="K225" s="72"/>
      <c r="L225" s="72"/>
      <c r="M225" s="72"/>
      <c r="N225" s="72"/>
      <c r="O225" s="72"/>
      <c r="P225" s="72"/>
    </row>
    <row r="226" spans="1:16">
      <c r="A226" s="70"/>
      <c r="B226" s="167"/>
      <c r="C226" s="70"/>
      <c r="D226" s="71"/>
      <c r="E226" s="72"/>
      <c r="F226" s="72"/>
      <c r="G226" s="72"/>
      <c r="H226" s="29"/>
      <c r="I226" s="29"/>
      <c r="J226" s="72"/>
      <c r="K226" s="72"/>
      <c r="L226" s="72"/>
      <c r="M226" s="72"/>
      <c r="N226" s="72"/>
      <c r="O226" s="72"/>
      <c r="P226" s="72"/>
    </row>
    <row r="227" spans="1:16">
      <c r="A227" s="70"/>
      <c r="B227" s="167"/>
      <c r="C227" s="70"/>
      <c r="D227" s="71"/>
      <c r="E227" s="72"/>
      <c r="F227" s="72"/>
      <c r="G227" s="72"/>
      <c r="H227" s="29"/>
      <c r="I227" s="29"/>
      <c r="J227" s="72"/>
      <c r="K227" s="72"/>
      <c r="L227" s="72"/>
      <c r="M227" s="72"/>
      <c r="N227" s="72"/>
      <c r="O227" s="72"/>
      <c r="P227" s="72"/>
    </row>
    <row r="228" spans="1:16">
      <c r="A228" s="70"/>
      <c r="B228" s="167"/>
      <c r="C228" s="70"/>
      <c r="D228" s="71"/>
      <c r="E228" s="72"/>
      <c r="F228" s="72"/>
      <c r="G228" s="72"/>
      <c r="H228" s="29"/>
      <c r="I228" s="29"/>
      <c r="J228" s="72"/>
      <c r="K228" s="72"/>
      <c r="L228" s="72"/>
      <c r="M228" s="72"/>
      <c r="N228" s="72"/>
      <c r="O228" s="72"/>
      <c r="P228" s="72"/>
    </row>
    <row r="229" spans="1:16">
      <c r="A229" s="70"/>
      <c r="B229" s="167"/>
      <c r="C229" s="70"/>
      <c r="D229" s="71"/>
      <c r="E229" s="72"/>
      <c r="F229" s="72"/>
      <c r="G229" s="72"/>
      <c r="H229" s="29"/>
      <c r="I229" s="29"/>
      <c r="J229" s="72"/>
      <c r="K229" s="72"/>
      <c r="L229" s="72"/>
      <c r="M229" s="72"/>
      <c r="N229" s="72"/>
      <c r="O229" s="72"/>
      <c r="P229" s="72"/>
    </row>
    <row r="230" spans="1:16">
      <c r="A230" s="70"/>
      <c r="B230" s="167"/>
      <c r="C230" s="70"/>
      <c r="D230" s="71"/>
      <c r="E230" s="72"/>
      <c r="F230" s="72"/>
      <c r="G230" s="72"/>
      <c r="H230" s="29"/>
      <c r="I230" s="29"/>
      <c r="J230" s="72"/>
      <c r="K230" s="72"/>
      <c r="L230" s="72"/>
      <c r="M230" s="72"/>
      <c r="N230" s="72"/>
      <c r="O230" s="72"/>
      <c r="P230" s="72"/>
    </row>
    <row r="231" spans="1:16">
      <c r="A231" s="70"/>
      <c r="B231" s="167"/>
      <c r="C231" s="70"/>
      <c r="D231" s="71"/>
      <c r="E231" s="72"/>
      <c r="F231" s="72"/>
      <c r="G231" s="72"/>
      <c r="H231" s="29"/>
      <c r="I231" s="29"/>
      <c r="J231" s="72"/>
      <c r="K231" s="72"/>
      <c r="L231" s="72"/>
      <c r="M231" s="72"/>
      <c r="N231" s="72"/>
      <c r="O231" s="72"/>
      <c r="P231" s="72"/>
    </row>
    <row r="232" spans="1:16">
      <c r="A232" s="70"/>
      <c r="B232" s="167"/>
      <c r="C232" s="70"/>
      <c r="D232" s="71"/>
      <c r="E232" s="72"/>
      <c r="F232" s="72"/>
      <c r="G232" s="72"/>
      <c r="H232" s="29"/>
      <c r="I232" s="29"/>
      <c r="J232" s="72"/>
      <c r="K232" s="72"/>
      <c r="L232" s="72"/>
      <c r="M232" s="72"/>
      <c r="N232" s="72"/>
      <c r="O232" s="72"/>
      <c r="P232" s="72"/>
    </row>
    <row r="233" spans="1:16">
      <c r="A233" s="70"/>
      <c r="B233" s="167"/>
      <c r="C233" s="70"/>
      <c r="D233" s="71"/>
      <c r="E233" s="72"/>
      <c r="F233" s="72"/>
      <c r="G233" s="72"/>
      <c r="H233" s="29"/>
      <c r="I233" s="29"/>
      <c r="J233" s="72"/>
      <c r="K233" s="72"/>
      <c r="L233" s="72"/>
      <c r="M233" s="72"/>
      <c r="N233" s="72"/>
      <c r="O233" s="72"/>
      <c r="P233" s="72"/>
    </row>
    <row r="234" spans="1:16">
      <c r="A234" s="70"/>
      <c r="B234" s="167"/>
      <c r="C234" s="70"/>
      <c r="D234" s="71"/>
      <c r="E234" s="72"/>
      <c r="F234" s="72"/>
      <c r="G234" s="72"/>
      <c r="H234" s="29"/>
      <c r="I234" s="29"/>
      <c r="J234" s="72"/>
      <c r="K234" s="72"/>
      <c r="L234" s="72"/>
      <c r="M234" s="72"/>
      <c r="N234" s="72"/>
      <c r="O234" s="72"/>
      <c r="P234" s="72"/>
    </row>
    <row r="235" spans="1:16">
      <c r="A235" s="70"/>
      <c r="B235" s="167"/>
      <c r="C235" s="70"/>
      <c r="D235" s="71"/>
      <c r="E235" s="72"/>
      <c r="F235" s="72"/>
      <c r="G235" s="72"/>
      <c r="H235" s="29"/>
      <c r="I235" s="29"/>
      <c r="J235" s="72"/>
      <c r="K235" s="72"/>
      <c r="L235" s="72"/>
      <c r="M235" s="72"/>
      <c r="N235" s="72"/>
      <c r="O235" s="72"/>
      <c r="P235" s="72"/>
    </row>
    <row r="236" spans="1:16">
      <c r="A236" s="70"/>
      <c r="B236" s="167"/>
      <c r="C236" s="70"/>
      <c r="D236" s="71"/>
      <c r="E236" s="72"/>
      <c r="F236" s="72"/>
      <c r="G236" s="72"/>
      <c r="H236" s="29"/>
      <c r="I236" s="29"/>
      <c r="J236" s="72"/>
      <c r="K236" s="72"/>
      <c r="L236" s="72"/>
      <c r="M236" s="72"/>
      <c r="N236" s="72"/>
      <c r="O236" s="72"/>
      <c r="P236" s="72"/>
    </row>
    <row r="237" spans="1:16">
      <c r="A237" s="70"/>
      <c r="B237" s="167"/>
      <c r="C237" s="70"/>
      <c r="D237" s="71"/>
      <c r="E237" s="72"/>
      <c r="F237" s="72"/>
      <c r="G237" s="72"/>
      <c r="H237" s="29"/>
      <c r="I237" s="29"/>
      <c r="J237" s="72"/>
      <c r="K237" s="72"/>
      <c r="L237" s="72"/>
      <c r="M237" s="72"/>
      <c r="N237" s="72"/>
      <c r="O237" s="72"/>
      <c r="P237" s="72"/>
    </row>
    <row r="238" spans="1:16">
      <c r="A238" s="70"/>
      <c r="B238" s="167"/>
      <c r="C238" s="70"/>
      <c r="D238" s="71"/>
      <c r="E238" s="72"/>
      <c r="F238" s="72"/>
      <c r="G238" s="72"/>
      <c r="H238" s="29"/>
      <c r="I238" s="29"/>
      <c r="J238" s="72"/>
      <c r="K238" s="72"/>
      <c r="L238" s="72"/>
      <c r="M238" s="72"/>
      <c r="N238" s="72"/>
      <c r="O238" s="72"/>
      <c r="P238" s="72"/>
    </row>
    <row r="239" spans="1:16">
      <c r="A239" s="70"/>
      <c r="B239" s="167"/>
      <c r="C239" s="70"/>
      <c r="D239" s="71"/>
      <c r="E239" s="72"/>
      <c r="F239" s="72"/>
      <c r="G239" s="72"/>
      <c r="H239" s="29"/>
      <c r="I239" s="29"/>
      <c r="J239" s="72"/>
      <c r="K239" s="72"/>
      <c r="L239" s="72"/>
      <c r="M239" s="72"/>
      <c r="N239" s="72"/>
      <c r="O239" s="72"/>
      <c r="P239" s="72"/>
    </row>
    <row r="240" spans="1:16">
      <c r="A240" s="70"/>
      <c r="B240" s="167"/>
      <c r="C240" s="70"/>
      <c r="D240" s="71"/>
      <c r="E240" s="72"/>
      <c r="F240" s="72"/>
      <c r="G240" s="72"/>
      <c r="H240" s="29"/>
      <c r="I240" s="29"/>
      <c r="J240" s="72"/>
      <c r="K240" s="72"/>
      <c r="L240" s="72"/>
      <c r="M240" s="72"/>
      <c r="N240" s="72"/>
      <c r="O240" s="72"/>
      <c r="P240" s="72"/>
    </row>
    <row r="241" spans="1:16">
      <c r="A241" s="70"/>
      <c r="B241" s="167"/>
      <c r="C241" s="70"/>
      <c r="D241" s="71"/>
      <c r="E241" s="72"/>
      <c r="F241" s="72"/>
      <c r="G241" s="72"/>
      <c r="H241" s="29"/>
      <c r="I241" s="29"/>
      <c r="J241" s="72"/>
      <c r="K241" s="72"/>
      <c r="L241" s="72"/>
      <c r="M241" s="72"/>
      <c r="N241" s="72"/>
      <c r="O241" s="72"/>
      <c r="P241" s="72"/>
    </row>
    <row r="242" spans="1:16">
      <c r="A242" s="70"/>
      <c r="B242" s="167"/>
      <c r="C242" s="70"/>
      <c r="D242" s="71"/>
      <c r="E242" s="72"/>
      <c r="F242" s="72"/>
      <c r="G242" s="72"/>
      <c r="H242" s="29"/>
      <c r="I242" s="29"/>
      <c r="J242" s="72"/>
      <c r="K242" s="72"/>
      <c r="L242" s="72"/>
      <c r="M242" s="72"/>
      <c r="N242" s="72"/>
      <c r="O242" s="72"/>
      <c r="P242" s="72"/>
    </row>
    <row r="243" spans="1:16">
      <c r="A243" s="70"/>
      <c r="B243" s="167"/>
      <c r="C243" s="70"/>
      <c r="D243" s="71"/>
      <c r="E243" s="72"/>
      <c r="F243" s="72"/>
      <c r="G243" s="72"/>
      <c r="H243" s="29"/>
      <c r="I243" s="29"/>
      <c r="J243" s="72"/>
      <c r="K243" s="72"/>
      <c r="L243" s="72"/>
      <c r="M243" s="72"/>
      <c r="N243" s="72"/>
      <c r="O243" s="72"/>
      <c r="P243" s="72"/>
    </row>
    <row r="244" spans="1:16">
      <c r="A244" s="70"/>
      <c r="B244" s="167"/>
      <c r="C244" s="70"/>
      <c r="D244" s="71"/>
      <c r="E244" s="72"/>
      <c r="F244" s="72"/>
      <c r="G244" s="72"/>
      <c r="H244" s="29"/>
      <c r="I244" s="29"/>
      <c r="J244" s="72"/>
      <c r="K244" s="72"/>
      <c r="L244" s="72"/>
      <c r="M244" s="72"/>
      <c r="N244" s="72"/>
      <c r="O244" s="72"/>
      <c r="P244" s="72"/>
    </row>
    <row r="245" spans="1:16">
      <c r="A245" s="70"/>
      <c r="B245" s="167"/>
      <c r="C245" s="70"/>
      <c r="D245" s="71"/>
      <c r="E245" s="72"/>
      <c r="F245" s="72"/>
      <c r="G245" s="72"/>
      <c r="H245" s="29"/>
      <c r="I245" s="29"/>
      <c r="J245" s="72"/>
      <c r="K245" s="72"/>
      <c r="L245" s="72"/>
      <c r="M245" s="72"/>
      <c r="N245" s="72"/>
      <c r="O245" s="72"/>
      <c r="P245" s="72"/>
    </row>
    <row r="246" spans="1:16">
      <c r="A246" s="70"/>
      <c r="B246" s="167"/>
      <c r="C246" s="70"/>
      <c r="D246" s="71"/>
      <c r="E246" s="72"/>
      <c r="F246" s="72"/>
      <c r="G246" s="72"/>
      <c r="H246" s="29"/>
      <c r="I246" s="29"/>
      <c r="J246" s="72"/>
      <c r="K246" s="72"/>
      <c r="L246" s="72"/>
      <c r="M246" s="72"/>
      <c r="N246" s="72"/>
      <c r="O246" s="72"/>
      <c r="P246" s="72"/>
    </row>
    <row r="247" spans="1:16">
      <c r="A247" s="70"/>
      <c r="B247" s="167"/>
      <c r="C247" s="70"/>
      <c r="D247" s="71"/>
      <c r="E247" s="72"/>
      <c r="F247" s="72"/>
      <c r="G247" s="72"/>
      <c r="H247" s="29"/>
      <c r="I247" s="29"/>
      <c r="J247" s="72"/>
      <c r="K247" s="72"/>
      <c r="L247" s="72"/>
      <c r="M247" s="72"/>
      <c r="N247" s="72"/>
      <c r="O247" s="72"/>
      <c r="P247" s="72"/>
    </row>
    <row r="248" spans="1:16">
      <c r="A248" s="70"/>
      <c r="B248" s="167"/>
      <c r="C248" s="70"/>
      <c r="D248" s="71"/>
      <c r="E248" s="72"/>
      <c r="F248" s="72"/>
      <c r="G248" s="72"/>
      <c r="H248" s="29"/>
      <c r="I248" s="29"/>
      <c r="J248" s="72"/>
      <c r="K248" s="72"/>
      <c r="L248" s="72"/>
      <c r="M248" s="72"/>
      <c r="N248" s="72"/>
      <c r="O248" s="72"/>
      <c r="P248" s="72"/>
    </row>
    <row r="249" spans="1:16">
      <c r="A249" s="70"/>
      <c r="B249" s="167"/>
      <c r="C249" s="70"/>
      <c r="D249" s="71"/>
      <c r="E249" s="72"/>
      <c r="F249" s="72"/>
      <c r="G249" s="72"/>
      <c r="H249" s="29"/>
      <c r="I249" s="29"/>
      <c r="J249" s="72"/>
      <c r="K249" s="72"/>
      <c r="L249" s="72"/>
      <c r="M249" s="72"/>
      <c r="N249" s="72"/>
      <c r="O249" s="72"/>
      <c r="P249" s="72"/>
    </row>
    <row r="250" spans="1:16">
      <c r="A250" s="70"/>
      <c r="B250" s="167"/>
      <c r="C250" s="70"/>
      <c r="D250" s="71"/>
      <c r="E250" s="72"/>
      <c r="F250" s="72"/>
      <c r="G250" s="72"/>
      <c r="H250" s="29"/>
      <c r="I250" s="29"/>
      <c r="J250" s="72"/>
      <c r="K250" s="72"/>
      <c r="L250" s="72"/>
      <c r="M250" s="72"/>
      <c r="N250" s="72"/>
      <c r="O250" s="72"/>
      <c r="P250" s="72"/>
    </row>
    <row r="251" spans="1:16">
      <c r="A251" s="70"/>
      <c r="B251" s="167"/>
      <c r="C251" s="70"/>
      <c r="D251" s="71"/>
      <c r="E251" s="72"/>
      <c r="F251" s="72"/>
      <c r="G251" s="72"/>
      <c r="H251" s="29"/>
      <c r="I251" s="29"/>
      <c r="J251" s="72"/>
      <c r="K251" s="72"/>
      <c r="L251" s="72"/>
      <c r="M251" s="72"/>
      <c r="N251" s="72"/>
      <c r="O251" s="72"/>
      <c r="P251" s="72"/>
    </row>
    <row r="252" spans="1:16">
      <c r="A252" s="70"/>
      <c r="B252" s="167"/>
      <c r="C252" s="70"/>
      <c r="D252" s="71"/>
      <c r="E252" s="72"/>
      <c r="F252" s="72"/>
      <c r="G252" s="72"/>
      <c r="H252" s="29"/>
      <c r="I252" s="29"/>
      <c r="J252" s="72"/>
      <c r="K252" s="72"/>
      <c r="L252" s="72"/>
      <c r="M252" s="72"/>
      <c r="N252" s="72"/>
      <c r="O252" s="72"/>
      <c r="P252" s="72"/>
    </row>
    <row r="253" spans="1:16">
      <c r="A253" s="70"/>
      <c r="B253" s="167"/>
      <c r="C253" s="70"/>
      <c r="D253" s="71"/>
      <c r="E253" s="72"/>
      <c r="F253" s="72"/>
      <c r="G253" s="72"/>
      <c r="H253" s="29"/>
      <c r="I253" s="29"/>
      <c r="J253" s="72"/>
      <c r="K253" s="72"/>
      <c r="L253" s="72"/>
      <c r="M253" s="72"/>
      <c r="N253" s="72"/>
      <c r="O253" s="72"/>
      <c r="P253" s="72"/>
    </row>
    <row r="254" spans="1:16">
      <c r="A254" s="70"/>
      <c r="B254" s="167"/>
      <c r="C254" s="70"/>
      <c r="D254" s="71"/>
      <c r="E254" s="72"/>
      <c r="F254" s="72"/>
      <c r="G254" s="72"/>
      <c r="H254" s="29"/>
      <c r="I254" s="29"/>
      <c r="J254" s="72"/>
      <c r="K254" s="72"/>
      <c r="L254" s="72"/>
      <c r="M254" s="72"/>
      <c r="N254" s="72"/>
      <c r="O254" s="72"/>
      <c r="P254" s="72"/>
    </row>
    <row r="255" spans="1:16">
      <c r="A255" s="70"/>
      <c r="B255" s="167"/>
      <c r="C255" s="70"/>
      <c r="D255" s="71"/>
      <c r="E255" s="72"/>
      <c r="F255" s="72"/>
      <c r="G255" s="72"/>
      <c r="H255" s="29"/>
      <c r="I255" s="29"/>
      <c r="J255" s="72"/>
      <c r="K255" s="72"/>
      <c r="L255" s="72"/>
      <c r="M255" s="72"/>
      <c r="N255" s="72"/>
      <c r="O255" s="72"/>
      <c r="P255" s="72"/>
    </row>
    <row r="256" spans="1:16">
      <c r="A256" s="70"/>
      <c r="B256" s="167"/>
      <c r="C256" s="70"/>
      <c r="D256" s="71"/>
      <c r="E256" s="72"/>
      <c r="F256" s="72"/>
      <c r="G256" s="72"/>
      <c r="H256" s="29"/>
      <c r="I256" s="29"/>
      <c r="J256" s="72"/>
      <c r="K256" s="72"/>
      <c r="L256" s="72"/>
      <c r="M256" s="72"/>
      <c r="N256" s="72"/>
      <c r="O256" s="72"/>
      <c r="P256" s="72"/>
    </row>
    <row r="257" spans="1:16">
      <c r="A257" s="70"/>
      <c r="B257" s="167"/>
      <c r="C257" s="70"/>
      <c r="D257" s="71"/>
      <c r="E257" s="72"/>
      <c r="F257" s="72"/>
      <c r="G257" s="72"/>
      <c r="H257" s="29"/>
      <c r="I257" s="29"/>
      <c r="J257" s="72"/>
      <c r="K257" s="72"/>
      <c r="L257" s="72"/>
      <c r="M257" s="72"/>
      <c r="N257" s="72"/>
      <c r="O257" s="72"/>
      <c r="P257" s="72"/>
    </row>
    <row r="258" spans="1:16">
      <c r="A258" s="70"/>
      <c r="B258" s="167"/>
      <c r="C258" s="70"/>
      <c r="D258" s="71"/>
      <c r="E258" s="72"/>
      <c r="F258" s="72"/>
      <c r="G258" s="72"/>
      <c r="H258" s="29"/>
      <c r="I258" s="29"/>
      <c r="J258" s="72"/>
      <c r="K258" s="72"/>
      <c r="L258" s="72"/>
      <c r="M258" s="72"/>
      <c r="N258" s="72"/>
      <c r="O258" s="72"/>
      <c r="P258" s="72"/>
    </row>
    <row r="259" spans="1:16">
      <c r="A259" s="70"/>
      <c r="B259" s="167"/>
      <c r="C259" s="70"/>
      <c r="D259" s="71"/>
      <c r="E259" s="72"/>
      <c r="F259" s="72"/>
      <c r="G259" s="72"/>
      <c r="H259" s="29"/>
      <c r="I259" s="29"/>
      <c r="J259" s="72"/>
      <c r="K259" s="72"/>
      <c r="L259" s="72"/>
      <c r="M259" s="72"/>
      <c r="N259" s="72"/>
      <c r="O259" s="72"/>
      <c r="P259" s="72"/>
    </row>
    <row r="260" spans="1:16">
      <c r="A260" s="70"/>
      <c r="B260" s="167"/>
      <c r="C260" s="70"/>
      <c r="D260" s="71"/>
      <c r="E260" s="72"/>
      <c r="F260" s="72"/>
      <c r="G260" s="72"/>
      <c r="H260" s="29"/>
      <c r="I260" s="29"/>
      <c r="J260" s="72"/>
      <c r="K260" s="72"/>
      <c r="L260" s="72"/>
      <c r="M260" s="72"/>
      <c r="N260" s="72"/>
      <c r="O260" s="72"/>
      <c r="P260" s="72"/>
    </row>
    <row r="261" spans="1:16">
      <c r="A261" s="70"/>
      <c r="B261" s="167"/>
      <c r="C261" s="70"/>
      <c r="D261" s="71"/>
      <c r="E261" s="72"/>
      <c r="F261" s="72"/>
      <c r="G261" s="72"/>
      <c r="H261" s="29"/>
      <c r="I261" s="29"/>
      <c r="J261" s="72"/>
      <c r="K261" s="72"/>
      <c r="L261" s="72"/>
      <c r="M261" s="72"/>
      <c r="N261" s="72"/>
      <c r="O261" s="72"/>
      <c r="P261" s="72"/>
    </row>
    <row r="262" spans="1:16">
      <c r="A262" s="70"/>
      <c r="B262" s="167"/>
      <c r="C262" s="70"/>
      <c r="D262" s="71"/>
      <c r="E262" s="72"/>
      <c r="F262" s="72"/>
      <c r="G262" s="72"/>
      <c r="H262" s="29"/>
      <c r="I262" s="29"/>
      <c r="J262" s="72"/>
      <c r="K262" s="72"/>
      <c r="L262" s="72"/>
      <c r="M262" s="72"/>
      <c r="N262" s="72"/>
      <c r="O262" s="72"/>
      <c r="P262" s="72"/>
    </row>
    <row r="263" spans="1:16">
      <c r="A263" s="70"/>
      <c r="B263" s="167"/>
      <c r="C263" s="70"/>
      <c r="D263" s="71"/>
      <c r="E263" s="72"/>
      <c r="F263" s="72"/>
      <c r="G263" s="72"/>
      <c r="H263" s="29"/>
      <c r="I263" s="29"/>
      <c r="J263" s="72"/>
      <c r="K263" s="72"/>
      <c r="L263" s="72"/>
      <c r="M263" s="72"/>
      <c r="N263" s="72"/>
      <c r="O263" s="72"/>
      <c r="P263" s="72"/>
    </row>
    <row r="264" spans="1:16">
      <c r="A264" s="70"/>
      <c r="B264" s="167"/>
      <c r="C264" s="70"/>
      <c r="D264" s="71"/>
      <c r="E264" s="72"/>
      <c r="F264" s="72"/>
      <c r="G264" s="72"/>
      <c r="H264" s="29"/>
      <c r="I264" s="29"/>
      <c r="J264" s="72"/>
      <c r="K264" s="72"/>
      <c r="L264" s="72"/>
      <c r="M264" s="72"/>
      <c r="N264" s="72"/>
      <c r="O264" s="72"/>
      <c r="P264" s="72"/>
    </row>
    <row r="265" spans="1:16">
      <c r="A265" s="70"/>
      <c r="B265" s="167"/>
      <c r="C265" s="70"/>
      <c r="D265" s="71"/>
      <c r="E265" s="72"/>
      <c r="F265" s="72"/>
      <c r="G265" s="72"/>
      <c r="H265" s="29"/>
      <c r="I265" s="29"/>
      <c r="J265" s="72"/>
      <c r="K265" s="72"/>
      <c r="L265" s="72"/>
      <c r="M265" s="72"/>
      <c r="N265" s="72"/>
      <c r="O265" s="72"/>
      <c r="P265" s="72"/>
    </row>
    <row r="266" spans="1:16">
      <c r="A266" s="70"/>
      <c r="B266" s="167"/>
      <c r="C266" s="70"/>
      <c r="D266" s="71"/>
      <c r="E266" s="72"/>
      <c r="F266" s="72"/>
      <c r="G266" s="72"/>
      <c r="H266" s="29"/>
      <c r="I266" s="29"/>
      <c r="J266" s="72"/>
      <c r="K266" s="72"/>
      <c r="L266" s="72"/>
      <c r="M266" s="72"/>
      <c r="N266" s="72"/>
      <c r="O266" s="72"/>
      <c r="P266" s="72"/>
    </row>
    <row r="267" spans="1:16">
      <c r="A267" s="70"/>
      <c r="B267" s="167"/>
      <c r="C267" s="70"/>
      <c r="D267" s="71"/>
      <c r="E267" s="72"/>
      <c r="F267" s="72"/>
      <c r="G267" s="72"/>
      <c r="H267" s="29"/>
      <c r="I267" s="29"/>
      <c r="J267" s="72"/>
      <c r="K267" s="72"/>
      <c r="L267" s="72"/>
      <c r="M267" s="72"/>
      <c r="N267" s="72"/>
      <c r="O267" s="72"/>
      <c r="P267" s="72"/>
    </row>
    <row r="268" spans="1:16">
      <c r="A268" s="70"/>
      <c r="B268" s="167"/>
      <c r="C268" s="70"/>
      <c r="D268" s="71"/>
      <c r="E268" s="72"/>
      <c r="F268" s="72"/>
      <c r="G268" s="72"/>
      <c r="H268" s="29"/>
      <c r="I268" s="29"/>
      <c r="J268" s="72"/>
      <c r="K268" s="72"/>
      <c r="L268" s="72"/>
      <c r="M268" s="72"/>
      <c r="N268" s="72"/>
      <c r="O268" s="72"/>
      <c r="P268" s="72"/>
    </row>
    <row r="269" spans="1:16">
      <c r="A269" s="70"/>
      <c r="B269" s="167"/>
      <c r="C269" s="70"/>
      <c r="D269" s="71"/>
      <c r="E269" s="72"/>
      <c r="F269" s="72"/>
      <c r="G269" s="72"/>
      <c r="H269" s="29"/>
      <c r="I269" s="29"/>
      <c r="J269" s="72"/>
      <c r="K269" s="72"/>
      <c r="L269" s="72"/>
      <c r="M269" s="72"/>
      <c r="N269" s="72"/>
      <c r="O269" s="72"/>
      <c r="P269" s="72"/>
    </row>
    <row r="270" spans="1:16">
      <c r="A270" s="70"/>
      <c r="B270" s="167"/>
      <c r="C270" s="70"/>
      <c r="D270" s="71"/>
      <c r="E270" s="72"/>
      <c r="F270" s="72"/>
      <c r="G270" s="72"/>
      <c r="H270" s="29"/>
      <c r="I270" s="29"/>
      <c r="J270" s="72"/>
      <c r="K270" s="72"/>
      <c r="L270" s="72"/>
      <c r="M270" s="72"/>
      <c r="N270" s="72"/>
      <c r="O270" s="72"/>
      <c r="P270" s="72"/>
    </row>
    <row r="271" spans="1:16">
      <c r="A271" s="70"/>
      <c r="B271" s="167"/>
      <c r="C271" s="70"/>
      <c r="D271" s="71"/>
      <c r="E271" s="72"/>
      <c r="F271" s="72"/>
      <c r="G271" s="72"/>
      <c r="H271" s="29"/>
      <c r="I271" s="29"/>
      <c r="J271" s="72"/>
      <c r="K271" s="72"/>
      <c r="L271" s="72"/>
      <c r="M271" s="72"/>
      <c r="N271" s="72"/>
      <c r="O271" s="72"/>
      <c r="P271" s="72"/>
    </row>
    <row r="272" spans="1:16">
      <c r="A272" s="70"/>
      <c r="B272" s="167"/>
      <c r="C272" s="70"/>
      <c r="D272" s="71"/>
      <c r="E272" s="72"/>
      <c r="F272" s="72"/>
      <c r="G272" s="72"/>
      <c r="H272" s="29"/>
      <c r="I272" s="29"/>
      <c r="J272" s="72"/>
      <c r="K272" s="72"/>
      <c r="L272" s="72"/>
      <c r="M272" s="72"/>
      <c r="N272" s="72"/>
      <c r="O272" s="72"/>
      <c r="P272" s="72"/>
    </row>
    <row r="273" spans="1:16">
      <c r="A273" s="70"/>
      <c r="B273" s="167"/>
      <c r="C273" s="70"/>
      <c r="D273" s="71"/>
      <c r="E273" s="72"/>
      <c r="F273" s="72"/>
      <c r="G273" s="72"/>
      <c r="H273" s="29"/>
      <c r="I273" s="29"/>
      <c r="J273" s="72"/>
      <c r="K273" s="72"/>
      <c r="L273" s="72"/>
      <c r="M273" s="72"/>
      <c r="N273" s="72"/>
      <c r="O273" s="72"/>
      <c r="P273" s="72"/>
    </row>
    <row r="274" spans="1:16">
      <c r="A274" s="70"/>
      <c r="B274" s="167"/>
      <c r="C274" s="70"/>
      <c r="D274" s="71"/>
      <c r="E274" s="72"/>
      <c r="F274" s="72"/>
      <c r="G274" s="72"/>
      <c r="H274" s="29"/>
      <c r="I274" s="29"/>
      <c r="J274" s="72"/>
      <c r="K274" s="72"/>
      <c r="L274" s="72"/>
      <c r="M274" s="72"/>
      <c r="N274" s="72"/>
      <c r="O274" s="72"/>
      <c r="P274" s="72"/>
    </row>
    <row r="275" spans="1:16">
      <c r="A275" s="70"/>
      <c r="B275" s="167"/>
      <c r="C275" s="70"/>
      <c r="D275" s="71"/>
      <c r="E275" s="72"/>
      <c r="F275" s="72"/>
      <c r="G275" s="72"/>
      <c r="H275" s="29"/>
      <c r="I275" s="29"/>
      <c r="J275" s="72"/>
      <c r="K275" s="72"/>
      <c r="L275" s="72"/>
      <c r="M275" s="72"/>
      <c r="N275" s="72"/>
      <c r="O275" s="72"/>
      <c r="P275" s="72"/>
    </row>
    <row r="276" spans="1:16">
      <c r="A276" s="70"/>
      <c r="B276" s="167"/>
      <c r="C276" s="70"/>
      <c r="D276" s="71"/>
      <c r="E276" s="72"/>
      <c r="F276" s="72"/>
      <c r="G276" s="72"/>
      <c r="H276" s="29"/>
      <c r="I276" s="29"/>
      <c r="J276" s="72"/>
      <c r="K276" s="72"/>
      <c r="L276" s="72"/>
      <c r="M276" s="72"/>
      <c r="N276" s="72"/>
      <c r="O276" s="72"/>
      <c r="P276" s="72"/>
    </row>
    <row r="277" spans="1:16">
      <c r="A277" s="70"/>
      <c r="B277" s="167"/>
      <c r="C277" s="70"/>
      <c r="D277" s="71"/>
      <c r="E277" s="72"/>
      <c r="F277" s="72"/>
      <c r="G277" s="72"/>
      <c r="H277" s="29"/>
      <c r="I277" s="29"/>
      <c r="J277" s="72"/>
      <c r="K277" s="72"/>
      <c r="L277" s="72"/>
      <c r="M277" s="72"/>
      <c r="N277" s="72"/>
      <c r="O277" s="72"/>
      <c r="P277" s="72"/>
    </row>
    <row r="278" spans="1:16">
      <c r="A278" s="70"/>
      <c r="B278" s="167"/>
      <c r="C278" s="70"/>
      <c r="D278" s="71"/>
      <c r="E278" s="72"/>
      <c r="F278" s="72"/>
      <c r="G278" s="72"/>
      <c r="H278" s="29"/>
      <c r="I278" s="29"/>
      <c r="J278" s="72"/>
      <c r="K278" s="72"/>
      <c r="L278" s="72"/>
      <c r="M278" s="72"/>
      <c r="N278" s="72"/>
      <c r="O278" s="72"/>
      <c r="P278" s="72"/>
    </row>
    <row r="279" spans="1:16">
      <c r="A279" s="70"/>
      <c r="B279" s="167"/>
      <c r="C279" s="70"/>
      <c r="D279" s="71"/>
      <c r="E279" s="72"/>
      <c r="F279" s="72"/>
      <c r="G279" s="72"/>
      <c r="H279" s="29"/>
      <c r="I279" s="29"/>
      <c r="J279" s="72"/>
      <c r="K279" s="72"/>
      <c r="L279" s="72"/>
      <c r="M279" s="72"/>
      <c r="N279" s="72"/>
      <c r="O279" s="72"/>
      <c r="P279" s="72"/>
    </row>
    <row r="280" spans="1:16">
      <c r="A280" s="70"/>
      <c r="B280" s="167"/>
      <c r="C280" s="70"/>
      <c r="D280" s="71"/>
      <c r="E280" s="72"/>
      <c r="F280" s="72"/>
      <c r="G280" s="72"/>
      <c r="H280" s="29"/>
      <c r="I280" s="29"/>
      <c r="J280" s="72"/>
      <c r="K280" s="72"/>
      <c r="L280" s="72"/>
      <c r="M280" s="72"/>
      <c r="N280" s="72"/>
      <c r="O280" s="72"/>
      <c r="P280" s="72"/>
    </row>
    <row r="281" spans="1:16">
      <c r="A281" s="70"/>
      <c r="B281" s="167"/>
      <c r="C281" s="70"/>
      <c r="D281" s="71"/>
      <c r="E281" s="72"/>
      <c r="F281" s="72"/>
      <c r="G281" s="72"/>
      <c r="H281" s="29"/>
      <c r="I281" s="29"/>
      <c r="J281" s="72"/>
      <c r="K281" s="72"/>
      <c r="L281" s="72"/>
      <c r="M281" s="72"/>
      <c r="N281" s="72"/>
      <c r="O281" s="72"/>
      <c r="P281" s="72"/>
    </row>
    <row r="282" spans="1:16">
      <c r="A282" s="70"/>
      <c r="B282" s="167"/>
      <c r="C282" s="70"/>
      <c r="D282" s="71"/>
      <c r="E282" s="72"/>
      <c r="F282" s="72"/>
      <c r="G282" s="72"/>
      <c r="H282" s="29"/>
      <c r="I282" s="29"/>
      <c r="J282" s="72"/>
      <c r="K282" s="72"/>
      <c r="L282" s="72"/>
      <c r="M282" s="72"/>
      <c r="N282" s="72"/>
      <c r="O282" s="72"/>
      <c r="P282" s="72"/>
    </row>
    <row r="283" spans="1:16">
      <c r="A283" s="70"/>
      <c r="B283" s="167"/>
      <c r="C283" s="70"/>
      <c r="D283" s="71"/>
      <c r="E283" s="72"/>
      <c r="F283" s="72"/>
      <c r="G283" s="72"/>
      <c r="H283" s="29"/>
      <c r="I283" s="29"/>
      <c r="J283" s="72"/>
      <c r="K283" s="72"/>
      <c r="L283" s="72"/>
      <c r="M283" s="72"/>
      <c r="N283" s="72"/>
      <c r="O283" s="72"/>
      <c r="P283" s="72"/>
    </row>
    <row r="284" spans="1:16">
      <c r="A284" s="70"/>
      <c r="B284" s="167"/>
      <c r="C284" s="70"/>
      <c r="D284" s="71"/>
      <c r="E284" s="72"/>
      <c r="F284" s="72"/>
      <c r="G284" s="72"/>
      <c r="H284" s="29"/>
      <c r="I284" s="29"/>
      <c r="J284" s="72"/>
      <c r="K284" s="72"/>
      <c r="L284" s="72"/>
      <c r="M284" s="72"/>
      <c r="N284" s="72"/>
      <c r="O284" s="72"/>
      <c r="P284" s="72"/>
    </row>
    <row r="285" spans="1:16">
      <c r="A285" s="70"/>
      <c r="B285" s="167"/>
      <c r="C285" s="70"/>
      <c r="D285" s="71"/>
      <c r="E285" s="72"/>
      <c r="F285" s="72"/>
      <c r="G285" s="72"/>
      <c r="H285" s="29"/>
      <c r="I285" s="29"/>
      <c r="J285" s="72"/>
      <c r="K285" s="72"/>
      <c r="L285" s="72"/>
      <c r="M285" s="72"/>
      <c r="N285" s="72"/>
      <c r="O285" s="72"/>
      <c r="P285" s="72"/>
    </row>
    <row r="286" spans="1:16">
      <c r="A286" s="70"/>
      <c r="B286" s="167"/>
      <c r="C286" s="70"/>
      <c r="D286" s="71"/>
      <c r="E286" s="72"/>
      <c r="F286" s="72"/>
      <c r="G286" s="72"/>
      <c r="H286" s="29"/>
      <c r="I286" s="29"/>
      <c r="J286" s="72"/>
      <c r="K286" s="72"/>
      <c r="L286" s="72"/>
      <c r="M286" s="72"/>
      <c r="N286" s="72"/>
      <c r="O286" s="72"/>
      <c r="P286" s="72"/>
    </row>
    <row r="287" spans="1:16">
      <c r="A287" s="70"/>
      <c r="B287" s="167"/>
      <c r="C287" s="70"/>
      <c r="D287" s="71"/>
      <c r="E287" s="72"/>
      <c r="F287" s="72"/>
      <c r="G287" s="72"/>
      <c r="H287" s="29"/>
      <c r="I287" s="29"/>
      <c r="J287" s="72"/>
      <c r="K287" s="72"/>
      <c r="L287" s="72"/>
      <c r="M287" s="72"/>
      <c r="N287" s="72"/>
      <c r="O287" s="72"/>
      <c r="P287" s="72"/>
    </row>
    <row r="288" spans="1:16">
      <c r="A288" s="70"/>
      <c r="B288" s="167"/>
      <c r="C288" s="70"/>
      <c r="D288" s="71"/>
      <c r="E288" s="72"/>
      <c r="F288" s="72"/>
      <c r="G288" s="72"/>
      <c r="H288" s="29"/>
      <c r="I288" s="29"/>
      <c r="J288" s="72"/>
      <c r="K288" s="72"/>
      <c r="L288" s="72"/>
      <c r="M288" s="72"/>
      <c r="N288" s="72"/>
      <c r="O288" s="72"/>
      <c r="P288" s="72"/>
    </row>
    <row r="289" spans="1:16">
      <c r="A289" s="70"/>
      <c r="B289" s="167"/>
      <c r="C289" s="70"/>
      <c r="D289" s="71"/>
      <c r="E289" s="72"/>
      <c r="F289" s="72"/>
      <c r="G289" s="72"/>
      <c r="H289" s="29"/>
      <c r="I289" s="29"/>
      <c r="J289" s="72"/>
      <c r="K289" s="72"/>
      <c r="L289" s="72"/>
      <c r="M289" s="72"/>
      <c r="N289" s="72"/>
      <c r="O289" s="72"/>
      <c r="P289" s="72"/>
    </row>
    <row r="290" spans="1:16">
      <c r="A290" s="70"/>
      <c r="B290" s="167"/>
      <c r="C290" s="70"/>
      <c r="D290" s="71"/>
      <c r="E290" s="72"/>
      <c r="F290" s="72"/>
      <c r="G290" s="72"/>
      <c r="H290" s="29"/>
      <c r="I290" s="29"/>
      <c r="J290" s="72"/>
      <c r="K290" s="72"/>
      <c r="L290" s="72"/>
      <c r="M290" s="72"/>
      <c r="N290" s="72"/>
      <c r="O290" s="72"/>
      <c r="P290" s="72"/>
    </row>
    <row r="291" spans="1:16">
      <c r="A291" s="70"/>
      <c r="B291" s="167"/>
      <c r="C291" s="70"/>
      <c r="D291" s="71"/>
      <c r="E291" s="72"/>
      <c r="F291" s="72"/>
      <c r="G291" s="72"/>
      <c r="H291" s="29"/>
      <c r="I291" s="29"/>
      <c r="J291" s="72"/>
      <c r="K291" s="72"/>
      <c r="L291" s="72"/>
      <c r="M291" s="72"/>
      <c r="N291" s="72"/>
      <c r="O291" s="72"/>
      <c r="P291" s="72"/>
    </row>
    <row r="292" spans="1:16">
      <c r="A292" s="70"/>
      <c r="B292" s="167"/>
      <c r="C292" s="70"/>
      <c r="D292" s="71"/>
      <c r="E292" s="72"/>
      <c r="F292" s="72"/>
      <c r="G292" s="72"/>
      <c r="H292" s="29"/>
      <c r="I292" s="29"/>
      <c r="J292" s="72"/>
      <c r="K292" s="72"/>
      <c r="L292" s="72"/>
      <c r="M292" s="72"/>
      <c r="N292" s="72"/>
      <c r="O292" s="72"/>
      <c r="P292" s="72"/>
    </row>
    <row r="293" spans="1:16">
      <c r="A293" s="70"/>
      <c r="B293" s="167"/>
      <c r="C293" s="70"/>
      <c r="D293" s="71"/>
      <c r="E293" s="72"/>
      <c r="F293" s="72"/>
      <c r="G293" s="72"/>
      <c r="H293" s="29"/>
      <c r="I293" s="29"/>
      <c r="J293" s="72"/>
      <c r="K293" s="72"/>
      <c r="L293" s="72"/>
      <c r="M293" s="72"/>
      <c r="N293" s="72"/>
      <c r="O293" s="72"/>
      <c r="P293" s="72"/>
    </row>
    <row r="294" spans="1:16">
      <c r="A294" s="70"/>
      <c r="B294" s="167"/>
      <c r="C294" s="70"/>
      <c r="D294" s="71"/>
      <c r="E294" s="72"/>
      <c r="F294" s="72"/>
      <c r="G294" s="72"/>
      <c r="H294" s="29"/>
      <c r="I294" s="29"/>
      <c r="J294" s="72"/>
      <c r="K294" s="72"/>
      <c r="L294" s="72"/>
      <c r="M294" s="72"/>
      <c r="N294" s="72"/>
      <c r="O294" s="72"/>
      <c r="P294" s="72"/>
    </row>
    <row r="295" spans="1:16">
      <c r="A295" s="70"/>
      <c r="B295" s="167"/>
      <c r="C295" s="70"/>
      <c r="D295" s="71"/>
      <c r="E295" s="72"/>
      <c r="F295" s="72"/>
      <c r="G295" s="72"/>
      <c r="H295" s="29"/>
      <c r="I295" s="29"/>
      <c r="J295" s="72"/>
      <c r="K295" s="72"/>
      <c r="L295" s="72"/>
      <c r="M295" s="72"/>
      <c r="N295" s="72"/>
      <c r="O295" s="72"/>
      <c r="P295" s="72"/>
    </row>
    <row r="296" spans="1:16">
      <c r="A296" s="70"/>
      <c r="B296" s="167"/>
      <c r="C296" s="70"/>
      <c r="D296" s="71"/>
      <c r="E296" s="72"/>
      <c r="F296" s="72"/>
      <c r="G296" s="72"/>
      <c r="H296" s="29"/>
      <c r="I296" s="29"/>
      <c r="J296" s="72"/>
      <c r="K296" s="72"/>
      <c r="L296" s="72"/>
      <c r="M296" s="72"/>
      <c r="N296" s="72"/>
      <c r="O296" s="72"/>
      <c r="P296" s="72"/>
    </row>
    <row r="297" spans="1:16">
      <c r="A297" s="70"/>
      <c r="B297" s="167"/>
      <c r="C297" s="70"/>
      <c r="D297" s="71"/>
      <c r="E297" s="72"/>
      <c r="F297" s="72"/>
      <c r="G297" s="72"/>
      <c r="H297" s="29"/>
      <c r="I297" s="29"/>
      <c r="J297" s="72"/>
      <c r="K297" s="72"/>
      <c r="L297" s="72"/>
      <c r="M297" s="72"/>
      <c r="N297" s="72"/>
      <c r="O297" s="72"/>
      <c r="P297" s="72"/>
    </row>
    <row r="298" spans="1:16">
      <c r="A298" s="70"/>
      <c r="B298" s="167"/>
      <c r="C298" s="70"/>
      <c r="D298" s="71"/>
      <c r="E298" s="72"/>
      <c r="F298" s="72"/>
      <c r="G298" s="72"/>
      <c r="H298" s="29"/>
      <c r="I298" s="29"/>
      <c r="J298" s="72"/>
      <c r="K298" s="72"/>
      <c r="L298" s="72"/>
      <c r="M298" s="72"/>
      <c r="N298" s="72"/>
      <c r="O298" s="72"/>
      <c r="P298" s="72"/>
    </row>
    <row r="299" spans="1:16">
      <c r="A299" s="70"/>
      <c r="B299" s="167"/>
      <c r="C299" s="70"/>
      <c r="D299" s="71"/>
      <c r="E299" s="72"/>
      <c r="F299" s="72"/>
      <c r="G299" s="72"/>
      <c r="H299" s="29"/>
      <c r="I299" s="29"/>
      <c r="J299" s="72"/>
      <c r="K299" s="72"/>
      <c r="L299" s="72"/>
      <c r="M299" s="72"/>
      <c r="N299" s="72"/>
      <c r="O299" s="72"/>
      <c r="P299" s="72"/>
    </row>
    <row r="300" spans="1:16">
      <c r="A300" s="70"/>
      <c r="B300" s="167"/>
      <c r="C300" s="70"/>
      <c r="D300" s="71"/>
      <c r="E300" s="72"/>
      <c r="F300" s="72"/>
      <c r="G300" s="72"/>
      <c r="H300" s="29"/>
      <c r="I300" s="29"/>
      <c r="J300" s="72"/>
      <c r="K300" s="72"/>
      <c r="L300" s="72"/>
      <c r="M300" s="72"/>
      <c r="N300" s="72"/>
      <c r="O300" s="72"/>
      <c r="P300" s="72"/>
    </row>
    <row r="301" spans="1:16">
      <c r="A301" s="70"/>
      <c r="B301" s="167"/>
      <c r="C301" s="70"/>
      <c r="D301" s="71"/>
      <c r="E301" s="72"/>
      <c r="F301" s="72"/>
      <c r="G301" s="72"/>
      <c r="H301" s="29"/>
      <c r="I301" s="29"/>
      <c r="J301" s="72"/>
      <c r="K301" s="72"/>
      <c r="L301" s="72"/>
      <c r="M301" s="72"/>
      <c r="N301" s="72"/>
      <c r="O301" s="72"/>
      <c r="P301" s="72"/>
    </row>
    <row r="302" spans="1:16">
      <c r="A302" s="70"/>
      <c r="B302" s="167"/>
      <c r="C302" s="70"/>
      <c r="D302" s="71"/>
      <c r="E302" s="72"/>
      <c r="F302" s="72"/>
      <c r="G302" s="72"/>
      <c r="H302" s="29"/>
      <c r="I302" s="29"/>
      <c r="J302" s="72"/>
      <c r="K302" s="72"/>
      <c r="L302" s="72"/>
      <c r="M302" s="72"/>
      <c r="N302" s="72"/>
      <c r="O302" s="72"/>
      <c r="P302" s="72"/>
    </row>
    <row r="303" spans="1:16">
      <c r="A303" s="70"/>
      <c r="B303" s="167"/>
      <c r="C303" s="70"/>
      <c r="D303" s="71"/>
      <c r="E303" s="72"/>
      <c r="F303" s="72"/>
      <c r="G303" s="72"/>
      <c r="H303" s="29"/>
      <c r="I303" s="29"/>
      <c r="J303" s="72"/>
      <c r="K303" s="72"/>
      <c r="L303" s="72"/>
      <c r="M303" s="72"/>
      <c r="N303" s="72"/>
      <c r="O303" s="72"/>
      <c r="P303" s="72"/>
    </row>
    <row r="304" spans="1:16">
      <c r="A304" s="70"/>
      <c r="B304" s="167"/>
      <c r="C304" s="70"/>
      <c r="D304" s="71"/>
      <c r="E304" s="72"/>
      <c r="F304" s="72"/>
      <c r="G304" s="72"/>
      <c r="H304" s="29"/>
      <c r="I304" s="29"/>
      <c r="J304" s="72"/>
      <c r="K304" s="72"/>
      <c r="L304" s="72"/>
      <c r="M304" s="72"/>
      <c r="N304" s="72"/>
      <c r="O304" s="72"/>
      <c r="P304" s="72"/>
    </row>
    <row r="305" spans="1:16">
      <c r="A305" s="70"/>
      <c r="B305" s="167"/>
      <c r="C305" s="70"/>
      <c r="D305" s="71"/>
      <c r="E305" s="72"/>
      <c r="F305" s="72"/>
      <c r="G305" s="72"/>
      <c r="H305" s="29"/>
      <c r="I305" s="29"/>
      <c r="J305" s="72"/>
      <c r="K305" s="72"/>
      <c r="L305" s="72"/>
      <c r="M305" s="72"/>
      <c r="N305" s="72"/>
      <c r="O305" s="72"/>
      <c r="P305" s="72"/>
    </row>
    <row r="306" spans="1:16">
      <c r="A306" s="70"/>
      <c r="B306" s="167"/>
      <c r="C306" s="70"/>
      <c r="D306" s="71"/>
      <c r="E306" s="72"/>
      <c r="F306" s="72"/>
      <c r="G306" s="72"/>
      <c r="H306" s="29"/>
      <c r="I306" s="29"/>
      <c r="J306" s="72"/>
      <c r="K306" s="72"/>
      <c r="L306" s="72"/>
      <c r="M306" s="72"/>
      <c r="N306" s="72"/>
      <c r="O306" s="72"/>
      <c r="P306" s="72"/>
    </row>
    <row r="307" spans="1:16">
      <c r="A307" s="70"/>
      <c r="B307" s="167"/>
      <c r="C307" s="70"/>
      <c r="D307" s="71"/>
      <c r="E307" s="72"/>
      <c r="F307" s="72"/>
      <c r="G307" s="72"/>
      <c r="H307" s="29"/>
      <c r="I307" s="29"/>
      <c r="J307" s="72"/>
      <c r="K307" s="72"/>
      <c r="L307" s="72"/>
      <c r="M307" s="72"/>
      <c r="N307" s="72"/>
      <c r="O307" s="72"/>
      <c r="P307" s="72"/>
    </row>
    <row r="308" spans="1:16">
      <c r="A308" s="70"/>
      <c r="B308" s="167"/>
      <c r="C308" s="70"/>
      <c r="D308" s="71"/>
      <c r="E308" s="72"/>
      <c r="F308" s="72"/>
      <c r="G308" s="72"/>
      <c r="H308" s="29"/>
      <c r="I308" s="29"/>
      <c r="J308" s="72"/>
      <c r="K308" s="72"/>
      <c r="L308" s="72"/>
      <c r="M308" s="72"/>
      <c r="N308" s="72"/>
      <c r="O308" s="72"/>
      <c r="P308" s="72"/>
    </row>
    <row r="309" spans="1:16">
      <c r="A309" s="70"/>
      <c r="B309" s="167"/>
      <c r="C309" s="70"/>
      <c r="D309" s="71"/>
      <c r="E309" s="72"/>
      <c r="F309" s="72"/>
      <c r="G309" s="72"/>
      <c r="H309" s="29"/>
      <c r="I309" s="29"/>
      <c r="J309" s="72"/>
      <c r="K309" s="72"/>
      <c r="L309" s="72"/>
      <c r="M309" s="72"/>
      <c r="N309" s="72"/>
      <c r="O309" s="72"/>
      <c r="P309" s="72"/>
    </row>
    <row r="310" spans="1:16">
      <c r="A310" s="70"/>
      <c r="B310" s="167"/>
      <c r="C310" s="70"/>
      <c r="D310" s="71"/>
      <c r="E310" s="72"/>
      <c r="F310" s="72"/>
      <c r="G310" s="72"/>
      <c r="H310" s="29"/>
      <c r="I310" s="29"/>
      <c r="J310" s="72"/>
      <c r="K310" s="72"/>
      <c r="L310" s="72"/>
      <c r="M310" s="72"/>
      <c r="N310" s="72"/>
      <c r="O310" s="72"/>
      <c r="P310" s="72"/>
    </row>
    <row r="311" spans="1:16">
      <c r="A311" s="70"/>
      <c r="B311" s="167"/>
      <c r="C311" s="70"/>
      <c r="D311" s="71"/>
      <c r="E311" s="72"/>
      <c r="F311" s="72"/>
      <c r="G311" s="72"/>
      <c r="H311" s="29"/>
      <c r="I311" s="29"/>
      <c r="J311" s="72"/>
      <c r="K311" s="72"/>
      <c r="L311" s="72"/>
      <c r="M311" s="72"/>
      <c r="N311" s="72"/>
      <c r="O311" s="72"/>
      <c r="P311" s="72"/>
    </row>
    <row r="312" spans="1:16">
      <c r="A312" s="70"/>
      <c r="B312" s="167"/>
      <c r="C312" s="70"/>
      <c r="D312" s="71"/>
      <c r="E312" s="72"/>
      <c r="F312" s="72"/>
      <c r="G312" s="72"/>
      <c r="H312" s="29"/>
      <c r="I312" s="29"/>
      <c r="J312" s="72"/>
      <c r="K312" s="72"/>
      <c r="L312" s="72"/>
      <c r="M312" s="72"/>
      <c r="N312" s="72"/>
      <c r="O312" s="72"/>
      <c r="P312" s="72"/>
    </row>
    <row r="313" spans="1:16">
      <c r="A313" s="70"/>
      <c r="B313" s="167"/>
      <c r="C313" s="70"/>
      <c r="D313" s="71"/>
      <c r="E313" s="72"/>
      <c r="F313" s="72"/>
      <c r="G313" s="72"/>
      <c r="H313" s="29"/>
      <c r="I313" s="29"/>
      <c r="J313" s="72"/>
      <c r="K313" s="72"/>
      <c r="L313" s="72"/>
      <c r="M313" s="72"/>
      <c r="N313" s="72"/>
      <c r="O313" s="72"/>
      <c r="P313" s="72"/>
    </row>
    <row r="314" spans="1:16">
      <c r="A314" s="70"/>
      <c r="B314" s="167"/>
      <c r="C314" s="70"/>
      <c r="D314" s="71"/>
      <c r="E314" s="72"/>
      <c r="F314" s="72"/>
      <c r="G314" s="72"/>
      <c r="H314" s="29"/>
      <c r="I314" s="29"/>
      <c r="J314" s="72"/>
      <c r="K314" s="72"/>
      <c r="L314" s="72"/>
      <c r="M314" s="72"/>
      <c r="N314" s="72"/>
      <c r="O314" s="72"/>
      <c r="P314" s="72"/>
    </row>
    <row r="315" spans="1:16">
      <c r="A315" s="70"/>
      <c r="B315" s="167"/>
      <c r="C315" s="70"/>
      <c r="D315" s="71"/>
      <c r="E315" s="72"/>
      <c r="F315" s="72"/>
      <c r="G315" s="72"/>
      <c r="H315" s="29"/>
      <c r="I315" s="29"/>
      <c r="J315" s="72"/>
      <c r="K315" s="72"/>
      <c r="L315" s="72"/>
      <c r="M315" s="72"/>
      <c r="N315" s="72"/>
      <c r="O315" s="72"/>
      <c r="P315" s="72"/>
    </row>
    <row r="316" spans="1:16">
      <c r="A316" s="70"/>
      <c r="B316" s="167"/>
      <c r="C316" s="70"/>
      <c r="D316" s="71"/>
      <c r="E316" s="72"/>
      <c r="F316" s="72"/>
      <c r="G316" s="72"/>
      <c r="H316" s="29"/>
      <c r="I316" s="29"/>
      <c r="J316" s="72"/>
      <c r="K316" s="72"/>
      <c r="L316" s="72"/>
      <c r="M316" s="72"/>
      <c r="N316" s="72"/>
      <c r="O316" s="72"/>
      <c r="P316" s="72"/>
    </row>
    <row r="317" spans="1:16">
      <c r="A317" s="70"/>
      <c r="B317" s="167"/>
      <c r="C317" s="70"/>
      <c r="D317" s="71"/>
      <c r="E317" s="72"/>
      <c r="F317" s="72"/>
      <c r="G317" s="72"/>
      <c r="H317" s="29"/>
      <c r="I317" s="29"/>
      <c r="J317" s="72"/>
      <c r="K317" s="72"/>
      <c r="L317" s="72"/>
      <c r="M317" s="72"/>
      <c r="N317" s="72"/>
      <c r="O317" s="72"/>
      <c r="P317" s="72"/>
    </row>
    <row r="318" spans="1:16">
      <c r="A318" s="70"/>
      <c r="B318" s="167"/>
      <c r="C318" s="70"/>
      <c r="D318" s="71"/>
      <c r="E318" s="72"/>
      <c r="F318" s="72"/>
      <c r="G318" s="72"/>
      <c r="H318" s="29"/>
      <c r="I318" s="29"/>
      <c r="J318" s="72"/>
      <c r="K318" s="72"/>
      <c r="L318" s="72"/>
      <c r="M318" s="72"/>
      <c r="N318" s="72"/>
      <c r="O318" s="72"/>
      <c r="P318" s="72"/>
    </row>
    <row r="319" spans="1:16">
      <c r="A319" s="70"/>
      <c r="B319" s="167"/>
      <c r="C319" s="70"/>
      <c r="D319" s="71"/>
      <c r="E319" s="72"/>
      <c r="F319" s="72"/>
      <c r="G319" s="72"/>
      <c r="H319" s="29"/>
      <c r="I319" s="29"/>
      <c r="J319" s="72"/>
      <c r="K319" s="72"/>
      <c r="L319" s="72"/>
      <c r="M319" s="72"/>
      <c r="N319" s="72"/>
      <c r="O319" s="72"/>
      <c r="P319" s="72"/>
    </row>
    <row r="320" spans="1:16">
      <c r="A320" s="70"/>
      <c r="B320" s="167"/>
      <c r="C320" s="70"/>
      <c r="D320" s="71"/>
      <c r="E320" s="72"/>
      <c r="F320" s="72"/>
      <c r="G320" s="72"/>
      <c r="H320" s="29"/>
      <c r="I320" s="29"/>
      <c r="J320" s="72"/>
      <c r="K320" s="72"/>
      <c r="L320" s="72"/>
      <c r="M320" s="72"/>
      <c r="N320" s="72"/>
      <c r="O320" s="72"/>
      <c r="P320" s="72"/>
    </row>
    <row r="321" spans="1:16">
      <c r="A321" s="70"/>
      <c r="B321" s="167"/>
      <c r="C321" s="70"/>
      <c r="D321" s="71"/>
      <c r="E321" s="72"/>
      <c r="F321" s="72"/>
      <c r="G321" s="72"/>
      <c r="H321" s="29"/>
      <c r="I321" s="29"/>
      <c r="J321" s="72"/>
      <c r="K321" s="72"/>
      <c r="L321" s="72"/>
      <c r="M321" s="72"/>
      <c r="N321" s="72"/>
      <c r="O321" s="72"/>
      <c r="P321" s="72"/>
    </row>
    <row r="322" spans="1:16">
      <c r="A322" s="70"/>
      <c r="B322" s="167"/>
      <c r="C322" s="70"/>
      <c r="D322" s="71"/>
      <c r="E322" s="72"/>
      <c r="F322" s="72"/>
      <c r="G322" s="72"/>
      <c r="H322" s="29"/>
      <c r="I322" s="29"/>
      <c r="J322" s="72"/>
      <c r="K322" s="72"/>
      <c r="L322" s="72"/>
      <c r="M322" s="72"/>
      <c r="N322" s="72"/>
      <c r="O322" s="72"/>
      <c r="P322" s="72"/>
    </row>
    <row r="323" spans="1:16">
      <c r="A323" s="70"/>
      <c r="B323" s="167"/>
      <c r="C323" s="70"/>
      <c r="D323" s="71"/>
      <c r="E323" s="72"/>
      <c r="F323" s="72"/>
      <c r="G323" s="72"/>
      <c r="H323" s="29"/>
      <c r="I323" s="29"/>
      <c r="J323" s="72"/>
      <c r="K323" s="72"/>
      <c r="L323" s="72"/>
      <c r="M323" s="72"/>
      <c r="N323" s="72"/>
      <c r="O323" s="72"/>
      <c r="P323" s="72"/>
    </row>
    <row r="324" spans="1:16">
      <c r="A324" s="70"/>
      <c r="B324" s="167"/>
      <c r="C324" s="70"/>
      <c r="D324" s="71"/>
      <c r="E324" s="72"/>
      <c r="F324" s="72"/>
      <c r="G324" s="72"/>
      <c r="H324" s="29"/>
      <c r="I324" s="29"/>
      <c r="J324" s="72"/>
      <c r="K324" s="72"/>
      <c r="L324" s="72"/>
      <c r="M324" s="72"/>
      <c r="N324" s="72"/>
      <c r="O324" s="72"/>
      <c r="P324" s="72"/>
    </row>
    <row r="325" spans="1:16">
      <c r="A325" s="70"/>
      <c r="B325" s="167"/>
      <c r="C325" s="70"/>
      <c r="D325" s="71"/>
      <c r="E325" s="72"/>
      <c r="F325" s="72"/>
      <c r="G325" s="72"/>
      <c r="H325" s="29"/>
      <c r="I325" s="29"/>
      <c r="J325" s="72"/>
      <c r="K325" s="72"/>
      <c r="L325" s="72"/>
      <c r="M325" s="72"/>
      <c r="N325" s="72"/>
      <c r="O325" s="72"/>
      <c r="P325" s="72"/>
    </row>
    <row r="326" spans="1:16">
      <c r="A326" s="70"/>
      <c r="B326" s="167"/>
      <c r="C326" s="70"/>
      <c r="D326" s="71"/>
      <c r="E326" s="72"/>
      <c r="F326" s="72"/>
      <c r="G326" s="72"/>
      <c r="H326" s="29"/>
      <c r="I326" s="29"/>
      <c r="J326" s="72"/>
      <c r="K326" s="72"/>
      <c r="L326" s="72"/>
      <c r="M326" s="72"/>
      <c r="N326" s="72"/>
      <c r="O326" s="72"/>
      <c r="P326" s="72"/>
    </row>
    <row r="327" spans="1:16">
      <c r="A327" s="70"/>
      <c r="B327" s="167"/>
      <c r="C327" s="70"/>
      <c r="D327" s="71"/>
      <c r="E327" s="72"/>
      <c r="F327" s="72"/>
      <c r="G327" s="72"/>
      <c r="H327" s="29"/>
      <c r="I327" s="29"/>
      <c r="J327" s="72"/>
      <c r="K327" s="72"/>
      <c r="L327" s="72"/>
      <c r="M327" s="72"/>
      <c r="N327" s="72"/>
      <c r="O327" s="72"/>
      <c r="P327" s="72"/>
    </row>
    <row r="328" spans="1:16">
      <c r="A328" s="70"/>
      <c r="B328" s="167"/>
      <c r="C328" s="70"/>
      <c r="D328" s="71"/>
      <c r="E328" s="72"/>
      <c r="F328" s="72"/>
      <c r="G328" s="72"/>
      <c r="H328" s="29"/>
      <c r="I328" s="29"/>
      <c r="J328" s="72"/>
      <c r="K328" s="72"/>
      <c r="L328" s="72"/>
      <c r="M328" s="72"/>
      <c r="N328" s="72"/>
      <c r="O328" s="72"/>
      <c r="P328" s="72"/>
    </row>
    <row r="329" spans="1:16">
      <c r="A329" s="70"/>
      <c r="B329" s="167"/>
      <c r="C329" s="70"/>
      <c r="D329" s="71"/>
      <c r="E329" s="72"/>
      <c r="F329" s="72"/>
      <c r="G329" s="72"/>
      <c r="H329" s="29"/>
      <c r="I329" s="29"/>
      <c r="J329" s="72"/>
      <c r="K329" s="72"/>
      <c r="L329" s="72"/>
      <c r="M329" s="72"/>
      <c r="N329" s="72"/>
      <c r="O329" s="72"/>
      <c r="P329" s="72"/>
    </row>
    <row r="330" spans="1:16">
      <c r="A330" s="70"/>
      <c r="B330" s="167"/>
      <c r="C330" s="70"/>
      <c r="D330" s="71"/>
      <c r="E330" s="72"/>
      <c r="F330" s="72"/>
      <c r="G330" s="72"/>
      <c r="H330" s="29"/>
      <c r="I330" s="29"/>
      <c r="J330" s="72"/>
      <c r="K330" s="72"/>
      <c r="L330" s="72"/>
      <c r="M330" s="72"/>
      <c r="N330" s="72"/>
      <c r="O330" s="72"/>
      <c r="P330" s="72"/>
    </row>
    <row r="331" spans="1:16">
      <c r="A331" s="70"/>
      <c r="B331" s="167"/>
      <c r="C331" s="70"/>
      <c r="D331" s="71"/>
      <c r="E331" s="72"/>
      <c r="F331" s="72"/>
      <c r="G331" s="72"/>
      <c r="H331" s="29"/>
      <c r="I331" s="29"/>
      <c r="J331" s="72"/>
      <c r="K331" s="72"/>
      <c r="L331" s="72"/>
      <c r="M331" s="72"/>
      <c r="N331" s="72"/>
      <c r="O331" s="72"/>
      <c r="P331" s="72"/>
    </row>
    <row r="332" spans="1:16">
      <c r="A332" s="70"/>
      <c r="B332" s="167"/>
      <c r="C332" s="70"/>
      <c r="D332" s="71"/>
      <c r="E332" s="72"/>
      <c r="F332" s="72"/>
      <c r="G332" s="72"/>
      <c r="H332" s="29"/>
      <c r="I332" s="29"/>
      <c r="J332" s="72"/>
      <c r="K332" s="72"/>
      <c r="L332" s="72"/>
      <c r="M332" s="72"/>
      <c r="N332" s="72"/>
      <c r="O332" s="72"/>
      <c r="P332" s="72"/>
    </row>
    <row r="333" spans="1:16">
      <c r="A333" s="70"/>
      <c r="B333" s="167"/>
      <c r="C333" s="70"/>
      <c r="D333" s="71"/>
      <c r="E333" s="72"/>
      <c r="F333" s="72"/>
      <c r="G333" s="72"/>
      <c r="H333" s="29"/>
      <c r="I333" s="29"/>
      <c r="J333" s="72"/>
      <c r="K333" s="72"/>
      <c r="L333" s="72"/>
      <c r="M333" s="72"/>
      <c r="N333" s="72"/>
      <c r="O333" s="72"/>
      <c r="P333" s="72"/>
    </row>
    <row r="334" spans="1:16">
      <c r="A334" s="70"/>
      <c r="B334" s="167"/>
      <c r="C334" s="70"/>
      <c r="D334" s="71"/>
      <c r="E334" s="72"/>
      <c r="F334" s="72"/>
      <c r="G334" s="72"/>
      <c r="H334" s="29"/>
      <c r="I334" s="29"/>
      <c r="J334" s="72"/>
      <c r="K334" s="72"/>
      <c r="L334" s="72"/>
      <c r="M334" s="72"/>
      <c r="N334" s="72"/>
      <c r="O334" s="72"/>
      <c r="P334" s="72"/>
    </row>
    <row r="335" spans="1:16">
      <c r="A335" s="70"/>
      <c r="B335" s="167"/>
      <c r="C335" s="70"/>
      <c r="D335" s="71"/>
      <c r="E335" s="72"/>
      <c r="F335" s="72"/>
      <c r="G335" s="72"/>
      <c r="H335" s="29"/>
      <c r="I335" s="29"/>
      <c r="J335" s="72"/>
      <c r="K335" s="72"/>
      <c r="L335" s="72"/>
      <c r="M335" s="72"/>
      <c r="N335" s="72"/>
      <c r="O335" s="72"/>
      <c r="P335" s="72"/>
    </row>
    <row r="336" spans="1:16">
      <c r="A336" s="70"/>
      <c r="B336" s="167"/>
      <c r="C336" s="70"/>
      <c r="D336" s="71"/>
      <c r="E336" s="72"/>
      <c r="F336" s="72"/>
      <c r="G336" s="72"/>
      <c r="H336" s="29"/>
      <c r="I336" s="29"/>
      <c r="J336" s="72"/>
      <c r="K336" s="72"/>
      <c r="L336" s="72"/>
      <c r="M336" s="72"/>
      <c r="N336" s="72"/>
      <c r="O336" s="72"/>
      <c r="P336" s="72"/>
    </row>
    <row r="337" spans="1:16">
      <c r="A337" s="70"/>
      <c r="B337" s="167"/>
      <c r="C337" s="70"/>
      <c r="D337" s="71"/>
      <c r="E337" s="72"/>
      <c r="F337" s="72"/>
      <c r="G337" s="72"/>
      <c r="H337" s="29"/>
      <c r="I337" s="29"/>
      <c r="J337" s="72"/>
      <c r="K337" s="72"/>
      <c r="L337" s="72"/>
      <c r="M337" s="72"/>
      <c r="N337" s="72"/>
      <c r="O337" s="72"/>
      <c r="P337" s="72"/>
    </row>
    <row r="338" spans="1:16">
      <c r="A338" s="70"/>
      <c r="B338" s="167"/>
      <c r="C338" s="70"/>
      <c r="D338" s="71"/>
      <c r="E338" s="72"/>
      <c r="F338" s="72"/>
      <c r="G338" s="72"/>
      <c r="H338" s="29"/>
      <c r="I338" s="29"/>
      <c r="J338" s="72"/>
      <c r="K338" s="72"/>
      <c r="L338" s="72"/>
      <c r="M338" s="72"/>
      <c r="N338" s="72"/>
      <c r="O338" s="72"/>
      <c r="P338" s="72"/>
    </row>
    <row r="339" spans="1:16">
      <c r="A339" s="70"/>
      <c r="B339" s="167"/>
      <c r="C339" s="70"/>
      <c r="D339" s="71"/>
      <c r="E339" s="72"/>
      <c r="F339" s="72"/>
      <c r="G339" s="72"/>
      <c r="H339" s="29"/>
      <c r="I339" s="29"/>
      <c r="J339" s="72"/>
      <c r="K339" s="72"/>
      <c r="L339" s="72"/>
      <c r="M339" s="72"/>
      <c r="N339" s="72"/>
      <c r="O339" s="72"/>
      <c r="P339" s="72"/>
    </row>
    <row r="340" spans="1:16">
      <c r="A340" s="70"/>
      <c r="B340" s="167"/>
      <c r="C340" s="70"/>
      <c r="D340" s="71"/>
      <c r="E340" s="72"/>
      <c r="F340" s="72"/>
      <c r="G340" s="72"/>
      <c r="H340" s="29"/>
      <c r="I340" s="29"/>
      <c r="J340" s="72"/>
      <c r="K340" s="72"/>
      <c r="L340" s="72"/>
      <c r="M340" s="72"/>
      <c r="N340" s="72"/>
      <c r="O340" s="72"/>
      <c r="P340" s="72"/>
    </row>
    <row r="341" spans="1:16">
      <c r="A341" s="70"/>
      <c r="B341" s="167"/>
      <c r="C341" s="70"/>
      <c r="D341" s="71"/>
      <c r="E341" s="72"/>
      <c r="F341" s="72"/>
      <c r="G341" s="72"/>
      <c r="H341" s="29"/>
      <c r="I341" s="29"/>
      <c r="J341" s="72"/>
      <c r="K341" s="72"/>
      <c r="L341" s="72"/>
      <c r="M341" s="72"/>
      <c r="N341" s="72"/>
      <c r="O341" s="72"/>
      <c r="P341" s="72"/>
    </row>
    <row r="342" spans="1:16">
      <c r="A342" s="70"/>
      <c r="B342" s="167"/>
      <c r="C342" s="70"/>
      <c r="D342" s="71"/>
      <c r="E342" s="72"/>
      <c r="F342" s="72"/>
      <c r="G342" s="72"/>
      <c r="H342" s="29"/>
      <c r="I342" s="29"/>
      <c r="J342" s="72"/>
      <c r="K342" s="72"/>
      <c r="L342" s="72"/>
      <c r="M342" s="72"/>
      <c r="N342" s="72"/>
      <c r="O342" s="72"/>
      <c r="P342" s="72"/>
    </row>
    <row r="343" spans="1:16">
      <c r="A343" s="70"/>
      <c r="B343" s="167"/>
      <c r="C343" s="70"/>
      <c r="D343" s="71"/>
      <c r="E343" s="72"/>
      <c r="F343" s="72"/>
      <c r="G343" s="72"/>
      <c r="H343" s="29"/>
      <c r="I343" s="29"/>
      <c r="J343" s="72"/>
      <c r="K343" s="72"/>
      <c r="L343" s="72"/>
      <c r="M343" s="72"/>
      <c r="N343" s="72"/>
      <c r="O343" s="72"/>
      <c r="P343" s="72"/>
    </row>
    <row r="344" spans="1:16">
      <c r="A344" s="70"/>
      <c r="B344" s="167"/>
      <c r="C344" s="70"/>
      <c r="D344" s="71"/>
      <c r="E344" s="72"/>
      <c r="F344" s="72"/>
      <c r="G344" s="72"/>
      <c r="H344" s="29"/>
      <c r="I344" s="29"/>
      <c r="J344" s="72"/>
      <c r="K344" s="72"/>
      <c r="L344" s="72"/>
      <c r="M344" s="72"/>
      <c r="N344" s="72"/>
      <c r="O344" s="72"/>
      <c r="P344" s="72"/>
    </row>
    <row r="345" spans="1:16">
      <c r="A345" s="70"/>
      <c r="B345" s="167"/>
      <c r="C345" s="70"/>
      <c r="D345" s="71"/>
      <c r="E345" s="72"/>
      <c r="F345" s="72"/>
      <c r="G345" s="72"/>
      <c r="H345" s="29"/>
      <c r="I345" s="29"/>
      <c r="J345" s="72"/>
      <c r="K345" s="72"/>
      <c r="L345" s="72"/>
      <c r="M345" s="72"/>
      <c r="N345" s="72"/>
      <c r="O345" s="72"/>
      <c r="P345" s="72"/>
    </row>
    <row r="346" spans="1:16">
      <c r="A346" s="70"/>
      <c r="B346" s="167"/>
      <c r="C346" s="70"/>
      <c r="D346" s="71"/>
      <c r="E346" s="72"/>
      <c r="F346" s="72"/>
      <c r="G346" s="72"/>
      <c r="H346" s="29"/>
      <c r="I346" s="29"/>
      <c r="J346" s="72"/>
      <c r="K346" s="72"/>
      <c r="L346" s="72"/>
      <c r="M346" s="72"/>
      <c r="N346" s="72"/>
      <c r="O346" s="72"/>
      <c r="P346" s="72"/>
    </row>
    <row r="347" spans="1:16">
      <c r="A347" s="70"/>
      <c r="B347" s="167"/>
      <c r="C347" s="70"/>
      <c r="D347" s="71"/>
      <c r="E347" s="72"/>
      <c r="F347" s="72"/>
      <c r="G347" s="72"/>
      <c r="H347" s="29"/>
      <c r="I347" s="29"/>
      <c r="J347" s="72"/>
      <c r="K347" s="72"/>
      <c r="L347" s="72"/>
      <c r="M347" s="72"/>
      <c r="N347" s="72"/>
      <c r="O347" s="72"/>
      <c r="P347" s="72"/>
    </row>
    <row r="348" spans="1:16">
      <c r="A348" s="70"/>
      <c r="B348" s="167"/>
      <c r="C348" s="70"/>
      <c r="D348" s="71"/>
      <c r="E348" s="72"/>
      <c r="F348" s="72"/>
      <c r="G348" s="72"/>
      <c r="H348" s="29"/>
      <c r="I348" s="29"/>
      <c r="J348" s="72"/>
      <c r="K348" s="72"/>
      <c r="L348" s="72"/>
      <c r="M348" s="72"/>
      <c r="N348" s="72"/>
      <c r="O348" s="72"/>
      <c r="P348" s="72"/>
    </row>
    <row r="349" spans="1:16">
      <c r="A349" s="70"/>
      <c r="B349" s="167"/>
      <c r="C349" s="70"/>
      <c r="D349" s="71"/>
      <c r="E349" s="72"/>
      <c r="F349" s="72"/>
      <c r="G349" s="72"/>
      <c r="H349" s="29"/>
      <c r="I349" s="29"/>
      <c r="J349" s="72"/>
      <c r="K349" s="72"/>
      <c r="L349" s="72"/>
      <c r="M349" s="72"/>
      <c r="N349" s="72"/>
      <c r="O349" s="72"/>
      <c r="P349" s="72"/>
    </row>
    <row r="350" spans="1:16">
      <c r="A350" s="70"/>
      <c r="B350" s="167"/>
      <c r="C350" s="70"/>
      <c r="D350" s="71"/>
      <c r="E350" s="72"/>
      <c r="F350" s="72"/>
      <c r="G350" s="72"/>
      <c r="H350" s="29"/>
      <c r="I350" s="29"/>
      <c r="J350" s="72"/>
      <c r="K350" s="72"/>
      <c r="L350" s="72"/>
      <c r="M350" s="72"/>
      <c r="N350" s="72"/>
      <c r="O350" s="72"/>
      <c r="P350" s="72"/>
    </row>
    <row r="351" spans="1:16">
      <c r="A351" s="70"/>
      <c r="B351" s="167"/>
      <c r="C351" s="70"/>
      <c r="D351" s="71"/>
      <c r="E351" s="72"/>
      <c r="F351" s="72"/>
      <c r="G351" s="72"/>
      <c r="H351" s="29"/>
      <c r="I351" s="29"/>
      <c r="J351" s="72"/>
      <c r="K351" s="72"/>
      <c r="L351" s="72"/>
      <c r="M351" s="72"/>
      <c r="N351" s="72"/>
      <c r="O351" s="72"/>
      <c r="P351" s="72"/>
    </row>
    <row r="352" spans="1:16">
      <c r="A352" s="70"/>
      <c r="B352" s="167"/>
      <c r="C352" s="70"/>
      <c r="D352" s="71"/>
      <c r="E352" s="72"/>
      <c r="F352" s="72"/>
      <c r="G352" s="72"/>
      <c r="H352" s="29"/>
      <c r="I352" s="29"/>
      <c r="J352" s="72"/>
      <c r="K352" s="72"/>
      <c r="L352" s="72"/>
      <c r="M352" s="72"/>
      <c r="N352" s="72"/>
      <c r="O352" s="72"/>
      <c r="P352" s="72"/>
    </row>
    <row r="353" spans="1:16">
      <c r="A353" s="70"/>
      <c r="B353" s="167"/>
      <c r="C353" s="70"/>
      <c r="D353" s="71"/>
      <c r="E353" s="72"/>
      <c r="F353" s="72"/>
      <c r="G353" s="72"/>
      <c r="H353" s="29"/>
      <c r="I353" s="29"/>
      <c r="J353" s="72"/>
      <c r="K353" s="72"/>
      <c r="L353" s="72"/>
      <c r="M353" s="72"/>
      <c r="N353" s="72"/>
      <c r="O353" s="72"/>
      <c r="P353" s="72"/>
    </row>
    <row r="354" spans="1:16">
      <c r="A354" s="70"/>
      <c r="B354" s="167"/>
      <c r="C354" s="70"/>
      <c r="D354" s="71"/>
      <c r="E354" s="72"/>
      <c r="F354" s="72"/>
      <c r="G354" s="72"/>
      <c r="H354" s="29"/>
      <c r="I354" s="29"/>
      <c r="J354" s="72"/>
      <c r="K354" s="72"/>
      <c r="L354" s="72"/>
      <c r="M354" s="72"/>
      <c r="N354" s="72"/>
      <c r="O354" s="72"/>
      <c r="P354" s="72"/>
    </row>
    <row r="355" spans="1:16">
      <c r="A355" s="70"/>
      <c r="B355" s="167"/>
      <c r="C355" s="70"/>
      <c r="D355" s="71"/>
      <c r="E355" s="72"/>
      <c r="F355" s="72"/>
      <c r="G355" s="72"/>
      <c r="H355" s="29"/>
      <c r="I355" s="29"/>
      <c r="J355" s="72"/>
      <c r="K355" s="72"/>
      <c r="L355" s="72"/>
      <c r="M355" s="72"/>
      <c r="N355" s="72"/>
      <c r="O355" s="72"/>
      <c r="P355" s="72"/>
    </row>
    <row r="356" spans="1:16">
      <c r="A356" s="70"/>
      <c r="B356" s="167"/>
      <c r="C356" s="70"/>
      <c r="D356" s="71"/>
      <c r="E356" s="72"/>
      <c r="F356" s="72"/>
      <c r="G356" s="72"/>
      <c r="H356" s="29"/>
      <c r="I356" s="29"/>
      <c r="J356" s="72"/>
      <c r="K356" s="72"/>
      <c r="L356" s="72"/>
      <c r="M356" s="72"/>
      <c r="N356" s="72"/>
      <c r="O356" s="72"/>
      <c r="P356" s="72"/>
    </row>
    <row r="357" spans="1:16">
      <c r="A357" s="70"/>
      <c r="B357" s="167"/>
      <c r="C357" s="70"/>
      <c r="D357" s="71"/>
      <c r="E357" s="72"/>
      <c r="F357" s="72"/>
      <c r="G357" s="72"/>
      <c r="H357" s="29"/>
      <c r="I357" s="29"/>
      <c r="J357" s="72"/>
      <c r="K357" s="72"/>
      <c r="L357" s="72"/>
      <c r="M357" s="72"/>
      <c r="N357" s="72"/>
      <c r="O357" s="72"/>
      <c r="P357" s="72"/>
    </row>
    <row r="358" spans="1:16">
      <c r="A358" s="70"/>
      <c r="B358" s="167"/>
      <c r="C358" s="70"/>
      <c r="D358" s="71"/>
      <c r="E358" s="72"/>
      <c r="F358" s="72"/>
      <c r="G358" s="72"/>
      <c r="H358" s="29"/>
      <c r="I358" s="29"/>
      <c r="J358" s="72"/>
      <c r="K358" s="72"/>
      <c r="L358" s="72"/>
      <c r="M358" s="72"/>
      <c r="N358" s="72"/>
      <c r="O358" s="72"/>
      <c r="P358" s="72"/>
    </row>
    <row r="359" spans="1:16">
      <c r="A359" s="70"/>
      <c r="B359" s="167"/>
      <c r="C359" s="70"/>
      <c r="D359" s="71"/>
      <c r="E359" s="72"/>
      <c r="F359" s="72"/>
      <c r="G359" s="72"/>
      <c r="H359" s="29"/>
      <c r="I359" s="29"/>
      <c r="J359" s="72"/>
      <c r="K359" s="72"/>
      <c r="L359" s="72"/>
      <c r="M359" s="72"/>
      <c r="N359" s="72"/>
      <c r="O359" s="72"/>
      <c r="P359" s="72"/>
    </row>
    <row r="360" spans="1:16">
      <c r="A360" s="70"/>
      <c r="B360" s="167"/>
      <c r="C360" s="70"/>
      <c r="D360" s="71"/>
      <c r="E360" s="72"/>
      <c r="F360" s="72"/>
      <c r="G360" s="72"/>
      <c r="H360" s="29"/>
      <c r="I360" s="29"/>
      <c r="J360" s="72"/>
      <c r="K360" s="72"/>
      <c r="L360" s="72"/>
      <c r="M360" s="72"/>
      <c r="N360" s="72"/>
      <c r="O360" s="72"/>
      <c r="P360" s="72"/>
    </row>
    <row r="361" spans="1:16">
      <c r="A361" s="70"/>
      <c r="B361" s="167"/>
      <c r="C361" s="70"/>
      <c r="D361" s="71"/>
      <c r="E361" s="72"/>
      <c r="F361" s="72"/>
      <c r="G361" s="72"/>
      <c r="H361" s="29"/>
      <c r="I361" s="29"/>
      <c r="J361" s="72"/>
      <c r="K361" s="72"/>
      <c r="L361" s="72"/>
      <c r="M361" s="72"/>
      <c r="N361" s="72"/>
      <c r="O361" s="72"/>
      <c r="P361" s="72"/>
    </row>
    <row r="362" spans="1:16">
      <c r="A362" s="70"/>
      <c r="B362" s="167"/>
      <c r="C362" s="70"/>
      <c r="D362" s="71"/>
      <c r="E362" s="72"/>
      <c r="F362" s="72"/>
      <c r="G362" s="72"/>
      <c r="H362" s="29"/>
      <c r="I362" s="29"/>
      <c r="J362" s="72"/>
      <c r="K362" s="72"/>
      <c r="L362" s="72"/>
      <c r="M362" s="72"/>
      <c r="N362" s="72"/>
      <c r="O362" s="72"/>
      <c r="P362" s="72"/>
    </row>
    <row r="363" spans="1:16">
      <c r="A363" s="70"/>
      <c r="B363" s="167"/>
      <c r="C363" s="70"/>
      <c r="D363" s="71"/>
      <c r="E363" s="72"/>
      <c r="F363" s="72"/>
      <c r="G363" s="72"/>
      <c r="H363" s="29"/>
      <c r="I363" s="29"/>
      <c r="J363" s="72"/>
      <c r="K363" s="72"/>
      <c r="L363" s="72"/>
      <c r="M363" s="72"/>
      <c r="N363" s="72"/>
      <c r="O363" s="72"/>
      <c r="P363" s="72"/>
    </row>
    <row r="364" spans="1:16">
      <c r="A364" s="70"/>
      <c r="B364" s="167"/>
      <c r="C364" s="70"/>
      <c r="D364" s="71"/>
      <c r="E364" s="72"/>
      <c r="F364" s="72"/>
      <c r="G364" s="72"/>
      <c r="H364" s="29"/>
      <c r="I364" s="29"/>
      <c r="J364" s="72"/>
      <c r="K364" s="72"/>
      <c r="L364" s="72"/>
      <c r="M364" s="72"/>
      <c r="N364" s="72"/>
      <c r="O364" s="72"/>
      <c r="P364" s="72"/>
    </row>
    <row r="365" spans="1:16">
      <c r="A365" s="70"/>
      <c r="B365" s="167"/>
      <c r="C365" s="70"/>
      <c r="D365" s="71"/>
      <c r="E365" s="72"/>
      <c r="F365" s="72"/>
      <c r="G365" s="72"/>
      <c r="H365" s="29"/>
      <c r="I365" s="29"/>
      <c r="J365" s="72"/>
      <c r="K365" s="72"/>
      <c r="L365" s="72"/>
      <c r="M365" s="72"/>
      <c r="N365" s="72"/>
      <c r="O365" s="72"/>
      <c r="P365" s="72"/>
    </row>
    <row r="366" spans="1:16">
      <c r="A366" s="70"/>
      <c r="B366" s="167"/>
      <c r="C366" s="70"/>
      <c r="D366" s="71"/>
      <c r="E366" s="72"/>
      <c r="F366" s="72"/>
      <c r="G366" s="72"/>
      <c r="H366" s="29"/>
      <c r="I366" s="29"/>
      <c r="J366" s="72"/>
      <c r="K366" s="72"/>
      <c r="L366" s="72"/>
      <c r="M366" s="72"/>
      <c r="N366" s="72"/>
      <c r="O366" s="72"/>
      <c r="P366" s="72"/>
    </row>
    <row r="367" spans="1:16">
      <c r="A367" s="70"/>
      <c r="B367" s="167"/>
      <c r="C367" s="70"/>
      <c r="D367" s="71"/>
      <c r="E367" s="72"/>
      <c r="F367" s="72"/>
      <c r="G367" s="72"/>
      <c r="H367" s="29"/>
      <c r="I367" s="29"/>
      <c r="J367" s="72"/>
      <c r="K367" s="72"/>
      <c r="L367" s="72"/>
      <c r="M367" s="72"/>
      <c r="N367" s="72"/>
      <c r="O367" s="72"/>
      <c r="P367" s="72"/>
    </row>
    <row r="368" spans="1:16">
      <c r="A368" s="70"/>
      <c r="B368" s="167"/>
      <c r="C368" s="70"/>
      <c r="D368" s="71"/>
      <c r="E368" s="72"/>
      <c r="F368" s="72"/>
      <c r="G368" s="72"/>
      <c r="H368" s="29"/>
      <c r="I368" s="29"/>
      <c r="J368" s="72"/>
      <c r="K368" s="72"/>
      <c r="L368" s="72"/>
      <c r="M368" s="72"/>
      <c r="N368" s="72"/>
      <c r="O368" s="72"/>
      <c r="P368" s="72"/>
    </row>
    <row r="369" spans="1:16">
      <c r="A369" s="70"/>
      <c r="B369" s="167"/>
      <c r="C369" s="70"/>
      <c r="D369" s="71"/>
      <c r="E369" s="72"/>
      <c r="F369" s="72"/>
      <c r="G369" s="72"/>
      <c r="H369" s="29"/>
      <c r="I369" s="29"/>
      <c r="J369" s="72"/>
      <c r="K369" s="72"/>
      <c r="L369" s="72"/>
      <c r="M369" s="72"/>
      <c r="N369" s="72"/>
      <c r="O369" s="72"/>
      <c r="P369" s="72"/>
    </row>
    <row r="370" spans="1:16">
      <c r="A370" s="70"/>
      <c r="B370" s="167"/>
      <c r="C370" s="70"/>
      <c r="D370" s="71"/>
      <c r="E370" s="72"/>
      <c r="F370" s="72"/>
      <c r="G370" s="72"/>
      <c r="H370" s="29"/>
      <c r="I370" s="29"/>
      <c r="J370" s="72"/>
      <c r="K370" s="72"/>
      <c r="L370" s="72"/>
      <c r="M370" s="72"/>
      <c r="N370" s="72"/>
      <c r="O370" s="72"/>
      <c r="P370" s="72"/>
    </row>
    <row r="371" spans="1:16">
      <c r="A371" s="70"/>
      <c r="B371" s="167"/>
      <c r="C371" s="70"/>
      <c r="D371" s="71"/>
      <c r="E371" s="72"/>
      <c r="F371" s="72"/>
      <c r="G371" s="72"/>
      <c r="H371" s="29"/>
      <c r="I371" s="29"/>
      <c r="J371" s="72"/>
      <c r="K371" s="72"/>
      <c r="L371" s="72"/>
      <c r="M371" s="72"/>
      <c r="N371" s="72"/>
      <c r="O371" s="72"/>
      <c r="P371" s="72"/>
    </row>
    <row r="372" spans="1:16">
      <c r="A372" s="70"/>
      <c r="B372" s="167"/>
      <c r="C372" s="70"/>
      <c r="D372" s="71"/>
      <c r="E372" s="72"/>
      <c r="F372" s="72"/>
      <c r="G372" s="72"/>
      <c r="H372" s="29"/>
      <c r="I372" s="29"/>
      <c r="J372" s="72"/>
      <c r="K372" s="72"/>
      <c r="L372" s="72"/>
      <c r="M372" s="72"/>
      <c r="N372" s="72"/>
      <c r="O372" s="72"/>
      <c r="P372" s="72"/>
    </row>
    <row r="373" spans="1:16">
      <c r="A373" s="70"/>
      <c r="B373" s="167"/>
      <c r="C373" s="70"/>
      <c r="D373" s="71"/>
      <c r="E373" s="72"/>
      <c r="F373" s="72"/>
      <c r="G373" s="72"/>
      <c r="H373" s="29"/>
      <c r="I373" s="29"/>
      <c r="J373" s="72"/>
      <c r="K373" s="72"/>
      <c r="L373" s="72"/>
      <c r="M373" s="72"/>
      <c r="N373" s="72"/>
      <c r="O373" s="72"/>
      <c r="P373" s="72"/>
    </row>
    <row r="374" spans="1:16">
      <c r="A374" s="70"/>
      <c r="B374" s="167"/>
      <c r="C374" s="70"/>
      <c r="D374" s="71"/>
      <c r="E374" s="72"/>
      <c r="F374" s="72"/>
      <c r="G374" s="72"/>
      <c r="H374" s="29"/>
      <c r="I374" s="29"/>
      <c r="J374" s="72"/>
      <c r="K374" s="72"/>
      <c r="L374" s="72"/>
      <c r="M374" s="72"/>
      <c r="N374" s="72"/>
      <c r="O374" s="72"/>
      <c r="P374" s="72"/>
    </row>
    <row r="375" spans="1:16">
      <c r="A375" s="70"/>
      <c r="B375" s="167"/>
      <c r="C375" s="70"/>
      <c r="D375" s="71"/>
      <c r="E375" s="72"/>
      <c r="F375" s="72"/>
      <c r="G375" s="72"/>
      <c r="H375" s="29"/>
      <c r="I375" s="29"/>
      <c r="J375" s="72"/>
      <c r="K375" s="72"/>
      <c r="L375" s="72"/>
      <c r="M375" s="72"/>
      <c r="N375" s="72"/>
      <c r="O375" s="72"/>
      <c r="P375" s="72"/>
    </row>
    <row r="376" spans="1:16">
      <c r="A376" s="70"/>
      <c r="B376" s="167"/>
      <c r="C376" s="70"/>
      <c r="D376" s="71"/>
      <c r="E376" s="72"/>
      <c r="F376" s="72"/>
      <c r="G376" s="72"/>
      <c r="H376" s="29"/>
      <c r="I376" s="29"/>
      <c r="J376" s="72"/>
      <c r="K376" s="72"/>
      <c r="L376" s="72"/>
      <c r="M376" s="72"/>
      <c r="N376" s="72"/>
      <c r="O376" s="72"/>
      <c r="P376" s="72"/>
    </row>
    <row r="377" spans="1:16">
      <c r="A377" s="70"/>
      <c r="B377" s="167"/>
      <c r="C377" s="70"/>
      <c r="D377" s="71"/>
      <c r="E377" s="72"/>
      <c r="F377" s="72"/>
      <c r="G377" s="72"/>
      <c r="H377" s="29"/>
      <c r="I377" s="29"/>
      <c r="J377" s="72"/>
      <c r="K377" s="72"/>
      <c r="L377" s="72"/>
      <c r="M377" s="72"/>
      <c r="N377" s="72"/>
      <c r="O377" s="72"/>
      <c r="P377" s="72"/>
    </row>
    <row r="378" spans="1:16">
      <c r="A378" s="70"/>
      <c r="B378" s="167"/>
      <c r="C378" s="70"/>
      <c r="D378" s="71"/>
      <c r="E378" s="72"/>
      <c r="F378" s="72"/>
      <c r="G378" s="72"/>
      <c r="H378" s="29"/>
      <c r="I378" s="29"/>
      <c r="J378" s="72"/>
      <c r="K378" s="72"/>
      <c r="L378" s="72"/>
      <c r="M378" s="72"/>
      <c r="N378" s="72"/>
      <c r="O378" s="72"/>
      <c r="P378" s="72"/>
    </row>
    <row r="379" spans="1:16">
      <c r="A379" s="70"/>
      <c r="B379" s="167"/>
      <c r="C379" s="70"/>
      <c r="D379" s="71"/>
      <c r="E379" s="72"/>
      <c r="F379" s="72"/>
      <c r="G379" s="72"/>
      <c r="H379" s="29"/>
      <c r="I379" s="29"/>
      <c r="J379" s="72"/>
      <c r="K379" s="72"/>
      <c r="L379" s="72"/>
      <c r="M379" s="72"/>
      <c r="N379" s="72"/>
      <c r="O379" s="72"/>
      <c r="P379" s="72"/>
    </row>
    <row r="380" spans="1:16">
      <c r="A380" s="70"/>
      <c r="B380" s="167"/>
      <c r="C380" s="70"/>
      <c r="D380" s="71"/>
      <c r="E380" s="72"/>
      <c r="F380" s="72"/>
      <c r="G380" s="72"/>
      <c r="H380" s="29"/>
      <c r="I380" s="29"/>
      <c r="J380" s="72"/>
      <c r="K380" s="72"/>
      <c r="L380" s="72"/>
      <c r="M380" s="72"/>
      <c r="N380" s="72"/>
      <c r="O380" s="72"/>
      <c r="P380" s="72"/>
    </row>
    <row r="381" spans="1:16">
      <c r="A381" s="70"/>
      <c r="B381" s="167"/>
      <c r="C381" s="70"/>
      <c r="D381" s="71"/>
      <c r="E381" s="72"/>
      <c r="F381" s="72"/>
      <c r="G381" s="72"/>
      <c r="H381" s="29"/>
      <c r="I381" s="29"/>
      <c r="J381" s="72"/>
      <c r="K381" s="72"/>
      <c r="L381" s="72"/>
      <c r="M381" s="72"/>
      <c r="N381" s="72"/>
      <c r="O381" s="72"/>
      <c r="P381" s="72"/>
    </row>
    <row r="382" spans="1:16">
      <c r="A382" s="70"/>
      <c r="B382" s="167"/>
      <c r="C382" s="70"/>
      <c r="D382" s="71"/>
      <c r="E382" s="72"/>
      <c r="F382" s="72"/>
      <c r="G382" s="72"/>
      <c r="H382" s="29"/>
      <c r="I382" s="29"/>
      <c r="J382" s="72"/>
      <c r="K382" s="72"/>
      <c r="L382" s="72"/>
      <c r="M382" s="72"/>
      <c r="N382" s="72"/>
      <c r="O382" s="72"/>
      <c r="P382" s="72"/>
    </row>
    <row r="383" spans="1:16">
      <c r="A383" s="70"/>
      <c r="B383" s="167"/>
      <c r="C383" s="70"/>
      <c r="D383" s="71"/>
      <c r="E383" s="72"/>
      <c r="F383" s="72"/>
      <c r="G383" s="72"/>
      <c r="H383" s="29"/>
      <c r="I383" s="29"/>
      <c r="J383" s="72"/>
      <c r="K383" s="72"/>
      <c r="L383" s="72"/>
      <c r="M383" s="72"/>
      <c r="N383" s="72"/>
      <c r="O383" s="72"/>
      <c r="P383" s="72"/>
    </row>
    <row r="384" spans="1:16">
      <c r="A384" s="70"/>
      <c r="B384" s="167"/>
      <c r="C384" s="70"/>
      <c r="D384" s="71"/>
      <c r="E384" s="72"/>
      <c r="F384" s="72"/>
      <c r="G384" s="72"/>
      <c r="H384" s="29"/>
      <c r="I384" s="29"/>
      <c r="J384" s="72"/>
      <c r="K384" s="72"/>
      <c r="L384" s="72"/>
      <c r="M384" s="72"/>
      <c r="N384" s="72"/>
      <c r="O384" s="72"/>
      <c r="P384" s="72"/>
    </row>
    <row r="385" spans="1:16">
      <c r="A385" s="70"/>
      <c r="B385" s="167"/>
      <c r="C385" s="70"/>
      <c r="D385" s="71"/>
      <c r="E385" s="72"/>
      <c r="F385" s="72"/>
      <c r="G385" s="72"/>
      <c r="H385" s="29"/>
      <c r="I385" s="29"/>
      <c r="J385" s="72"/>
      <c r="K385" s="72"/>
      <c r="L385" s="72"/>
      <c r="M385" s="72"/>
      <c r="N385" s="72"/>
      <c r="O385" s="72"/>
      <c r="P385" s="72"/>
    </row>
    <row r="386" spans="1:16">
      <c r="A386" s="70"/>
      <c r="B386" s="167"/>
      <c r="C386" s="70"/>
      <c r="D386" s="71"/>
      <c r="E386" s="72"/>
      <c r="F386" s="72"/>
      <c r="G386" s="72"/>
      <c r="H386" s="29"/>
      <c r="I386" s="29"/>
      <c r="J386" s="72"/>
      <c r="K386" s="72"/>
      <c r="L386" s="72"/>
      <c r="M386" s="72"/>
      <c r="N386" s="72"/>
      <c r="O386" s="72"/>
      <c r="P386" s="72"/>
    </row>
    <row r="387" spans="1:16">
      <c r="A387" s="70"/>
      <c r="B387" s="167"/>
      <c r="C387" s="70"/>
      <c r="D387" s="71"/>
      <c r="E387" s="72"/>
      <c r="F387" s="72"/>
      <c r="G387" s="72"/>
      <c r="H387" s="29"/>
      <c r="I387" s="29"/>
      <c r="J387" s="72"/>
      <c r="K387" s="72"/>
      <c r="L387" s="72"/>
      <c r="M387" s="72"/>
      <c r="N387" s="72"/>
      <c r="O387" s="72"/>
      <c r="P387" s="72"/>
    </row>
    <row r="388" spans="1:16">
      <c r="A388" s="70"/>
      <c r="B388" s="167"/>
      <c r="C388" s="70"/>
      <c r="D388" s="71"/>
      <c r="E388" s="72"/>
      <c r="F388" s="72"/>
      <c r="G388" s="72"/>
      <c r="H388" s="29"/>
      <c r="I388" s="29"/>
      <c r="J388" s="72"/>
      <c r="K388" s="72"/>
      <c r="L388" s="72"/>
      <c r="M388" s="72"/>
      <c r="N388" s="72"/>
      <c r="O388" s="72"/>
      <c r="P388" s="72"/>
    </row>
    <row r="389" spans="1:16">
      <c r="A389" s="70"/>
      <c r="B389" s="167"/>
      <c r="C389" s="70"/>
      <c r="D389" s="71"/>
      <c r="E389" s="72"/>
      <c r="F389" s="72"/>
      <c r="G389" s="72"/>
      <c r="H389" s="29"/>
      <c r="I389" s="29"/>
      <c r="J389" s="72"/>
      <c r="K389" s="72"/>
      <c r="L389" s="72"/>
      <c r="M389" s="72"/>
      <c r="N389" s="72"/>
      <c r="O389" s="72"/>
      <c r="P389" s="72"/>
    </row>
    <row r="390" spans="1:16">
      <c r="A390" s="70"/>
      <c r="B390" s="167"/>
      <c r="C390" s="70"/>
      <c r="D390" s="71"/>
      <c r="E390" s="72"/>
      <c r="F390" s="72"/>
      <c r="G390" s="72"/>
      <c r="H390" s="29"/>
      <c r="I390" s="29"/>
      <c r="J390" s="72"/>
      <c r="K390" s="72"/>
      <c r="L390" s="72"/>
      <c r="M390" s="72"/>
      <c r="N390" s="72"/>
      <c r="O390" s="72"/>
      <c r="P390" s="72"/>
    </row>
    <row r="391" spans="1:16">
      <c r="A391" s="70"/>
      <c r="B391" s="167"/>
      <c r="C391" s="70"/>
      <c r="D391" s="71"/>
      <c r="E391" s="72"/>
      <c r="F391" s="72"/>
      <c r="G391" s="72"/>
      <c r="H391" s="29"/>
      <c r="I391" s="29"/>
      <c r="J391" s="72"/>
      <c r="K391" s="72"/>
      <c r="L391" s="72"/>
      <c r="M391" s="72"/>
      <c r="N391" s="72"/>
      <c r="O391" s="72"/>
      <c r="P391" s="72"/>
    </row>
    <row r="392" spans="1:16">
      <c r="A392" s="70"/>
      <c r="B392" s="167"/>
      <c r="C392" s="70"/>
      <c r="D392" s="71"/>
      <c r="E392" s="72"/>
      <c r="F392" s="72"/>
      <c r="G392" s="72"/>
      <c r="H392" s="29"/>
      <c r="I392" s="29"/>
      <c r="J392" s="72"/>
      <c r="K392" s="72"/>
      <c r="L392" s="72"/>
      <c r="M392" s="72"/>
      <c r="N392" s="72"/>
      <c r="O392" s="72"/>
      <c r="P392" s="72"/>
    </row>
    <row r="393" spans="1:16">
      <c r="A393" s="70"/>
      <c r="B393" s="167"/>
      <c r="C393" s="70"/>
      <c r="D393" s="71"/>
      <c r="E393" s="72"/>
      <c r="F393" s="72"/>
      <c r="G393" s="72"/>
      <c r="H393" s="29"/>
      <c r="I393" s="29"/>
      <c r="J393" s="72"/>
      <c r="K393" s="72"/>
      <c r="L393" s="72"/>
      <c r="M393" s="72"/>
      <c r="N393" s="72"/>
      <c r="O393" s="72"/>
      <c r="P393" s="72"/>
    </row>
    <row r="394" spans="1:16">
      <c r="A394" s="70"/>
      <c r="B394" s="167"/>
      <c r="C394" s="70"/>
      <c r="D394" s="71"/>
      <c r="E394" s="72"/>
      <c r="F394" s="72"/>
      <c r="G394" s="72"/>
      <c r="H394" s="29"/>
      <c r="I394" s="29"/>
      <c r="J394" s="72"/>
      <c r="K394" s="72"/>
      <c r="L394" s="72"/>
      <c r="M394" s="72"/>
      <c r="N394" s="72"/>
      <c r="O394" s="72"/>
      <c r="P394" s="72"/>
    </row>
    <row r="395" spans="1:16">
      <c r="A395" s="70"/>
      <c r="B395" s="167"/>
      <c r="C395" s="70"/>
      <c r="D395" s="71"/>
      <c r="E395" s="72"/>
      <c r="F395" s="72"/>
      <c r="G395" s="72"/>
      <c r="H395" s="29"/>
      <c r="I395" s="29"/>
      <c r="J395" s="72"/>
      <c r="K395" s="72"/>
      <c r="L395" s="72"/>
      <c r="M395" s="72"/>
      <c r="N395" s="72"/>
      <c r="O395" s="72"/>
      <c r="P395" s="72"/>
    </row>
    <row r="396" spans="1:16">
      <c r="A396" s="70"/>
      <c r="B396" s="167"/>
      <c r="C396" s="70"/>
      <c r="D396" s="71"/>
      <c r="E396" s="72"/>
      <c r="F396" s="72"/>
      <c r="G396" s="72"/>
      <c r="H396" s="29"/>
      <c r="I396" s="29"/>
      <c r="J396" s="72"/>
      <c r="K396" s="72"/>
      <c r="L396" s="72"/>
      <c r="M396" s="72"/>
      <c r="N396" s="72"/>
      <c r="O396" s="72"/>
      <c r="P396" s="72"/>
    </row>
    <row r="397" spans="1:16">
      <c r="A397" s="70"/>
      <c r="B397" s="167"/>
      <c r="C397" s="70"/>
      <c r="D397" s="71"/>
      <c r="E397" s="72"/>
      <c r="F397" s="72"/>
      <c r="G397" s="72"/>
      <c r="H397" s="29"/>
      <c r="I397" s="29"/>
      <c r="J397" s="72"/>
      <c r="K397" s="72"/>
      <c r="L397" s="72"/>
      <c r="M397" s="72"/>
      <c r="N397" s="72"/>
      <c r="O397" s="72"/>
      <c r="P397" s="72"/>
    </row>
    <row r="398" spans="1:16">
      <c r="A398" s="70"/>
      <c r="B398" s="167"/>
      <c r="C398" s="70"/>
      <c r="D398" s="71"/>
      <c r="E398" s="72"/>
      <c r="F398" s="72"/>
      <c r="G398" s="72"/>
      <c r="H398" s="29"/>
      <c r="I398" s="29"/>
      <c r="J398" s="72"/>
      <c r="K398" s="72"/>
      <c r="L398" s="72"/>
      <c r="M398" s="72"/>
      <c r="N398" s="72"/>
      <c r="O398" s="72"/>
      <c r="P398" s="72"/>
    </row>
    <row r="399" spans="1:16">
      <c r="A399" s="70"/>
      <c r="B399" s="167"/>
      <c r="C399" s="70"/>
      <c r="D399" s="71"/>
      <c r="E399" s="72"/>
      <c r="F399" s="72"/>
      <c r="G399" s="72"/>
      <c r="H399" s="29"/>
      <c r="I399" s="29"/>
      <c r="J399" s="72"/>
      <c r="K399" s="72"/>
      <c r="L399" s="72"/>
      <c r="M399" s="72"/>
      <c r="N399" s="72"/>
      <c r="O399" s="72"/>
      <c r="P399" s="72"/>
    </row>
    <row r="400" spans="1:16">
      <c r="A400" s="70"/>
      <c r="B400" s="167"/>
      <c r="C400" s="70"/>
      <c r="D400" s="71"/>
      <c r="E400" s="72"/>
      <c r="F400" s="72"/>
      <c r="G400" s="72"/>
      <c r="H400" s="29"/>
      <c r="I400" s="29"/>
      <c r="J400" s="72"/>
      <c r="K400" s="72"/>
      <c r="L400" s="72"/>
      <c r="M400" s="72"/>
      <c r="N400" s="72"/>
      <c r="O400" s="72"/>
      <c r="P400" s="72"/>
    </row>
    <row r="401" spans="1:16">
      <c r="A401" s="70"/>
      <c r="B401" s="167"/>
      <c r="C401" s="70"/>
      <c r="D401" s="71"/>
      <c r="E401" s="72"/>
      <c r="F401" s="72"/>
      <c r="G401" s="72"/>
      <c r="H401" s="29"/>
      <c r="I401" s="29"/>
      <c r="J401" s="72"/>
      <c r="K401" s="72"/>
      <c r="L401" s="72"/>
      <c r="M401" s="72"/>
      <c r="N401" s="72"/>
      <c r="O401" s="72"/>
      <c r="P401" s="72"/>
    </row>
    <row r="402" spans="1:16">
      <c r="A402" s="70"/>
      <c r="B402" s="167"/>
      <c r="C402" s="70"/>
      <c r="D402" s="71"/>
      <c r="E402" s="72"/>
      <c r="F402" s="72"/>
      <c r="G402" s="72"/>
      <c r="H402" s="29"/>
      <c r="I402" s="29"/>
      <c r="J402" s="72"/>
      <c r="K402" s="72"/>
      <c r="L402" s="72"/>
      <c r="M402" s="72"/>
      <c r="N402" s="72"/>
      <c r="O402" s="72"/>
      <c r="P402" s="72"/>
    </row>
    <row r="403" spans="1:16">
      <c r="A403" s="70"/>
      <c r="B403" s="167"/>
      <c r="C403" s="70"/>
      <c r="D403" s="71"/>
      <c r="E403" s="72"/>
      <c r="F403" s="72"/>
      <c r="G403" s="72"/>
      <c r="H403" s="29"/>
      <c r="I403" s="29"/>
      <c r="J403" s="72"/>
      <c r="K403" s="72"/>
      <c r="L403" s="72"/>
      <c r="M403" s="72"/>
      <c r="N403" s="72"/>
      <c r="O403" s="72"/>
      <c r="P403" s="72"/>
    </row>
    <row r="404" spans="1:16">
      <c r="A404" s="70"/>
      <c r="B404" s="167"/>
      <c r="C404" s="70"/>
      <c r="D404" s="71"/>
      <c r="E404" s="72"/>
      <c r="F404" s="72"/>
      <c r="G404" s="72"/>
      <c r="H404" s="29"/>
      <c r="I404" s="29"/>
      <c r="J404" s="72"/>
      <c r="K404" s="72"/>
      <c r="L404" s="72"/>
      <c r="M404" s="72"/>
      <c r="N404" s="72"/>
      <c r="O404" s="72"/>
      <c r="P404" s="72"/>
    </row>
    <row r="405" spans="1:16">
      <c r="A405" s="70"/>
      <c r="B405" s="167"/>
      <c r="C405" s="70"/>
      <c r="D405" s="71"/>
      <c r="E405" s="72"/>
      <c r="F405" s="72"/>
      <c r="G405" s="72"/>
      <c r="H405" s="29"/>
      <c r="I405" s="29"/>
      <c r="J405" s="72"/>
      <c r="K405" s="72"/>
      <c r="L405" s="72"/>
      <c r="M405" s="72"/>
      <c r="N405" s="72"/>
      <c r="O405" s="72"/>
      <c r="P405" s="72"/>
    </row>
    <row r="406" spans="1:16">
      <c r="A406" s="70"/>
      <c r="B406" s="167"/>
      <c r="C406" s="70"/>
      <c r="D406" s="71"/>
      <c r="E406" s="72"/>
      <c r="F406" s="72"/>
      <c r="G406" s="72"/>
      <c r="H406" s="29"/>
      <c r="I406" s="29"/>
      <c r="J406" s="72"/>
      <c r="K406" s="72"/>
      <c r="L406" s="72"/>
      <c r="M406" s="72"/>
      <c r="N406" s="72"/>
      <c r="O406" s="72"/>
      <c r="P406" s="72"/>
    </row>
    <row r="407" spans="1:16">
      <c r="A407" s="70"/>
      <c r="B407" s="167"/>
      <c r="C407" s="70"/>
      <c r="D407" s="71"/>
      <c r="E407" s="72"/>
      <c r="F407" s="72"/>
      <c r="G407" s="72"/>
      <c r="H407" s="29"/>
      <c r="I407" s="29"/>
      <c r="J407" s="72"/>
      <c r="K407" s="72"/>
      <c r="L407" s="72"/>
      <c r="M407" s="72"/>
      <c r="N407" s="72"/>
      <c r="O407" s="72"/>
      <c r="P407" s="72"/>
    </row>
    <row r="408" spans="1:16">
      <c r="A408" s="70"/>
      <c r="B408" s="167"/>
      <c r="C408" s="70"/>
      <c r="D408" s="71"/>
      <c r="E408" s="72"/>
      <c r="F408" s="72"/>
      <c r="G408" s="72"/>
      <c r="H408" s="29"/>
      <c r="I408" s="29"/>
      <c r="J408" s="72"/>
      <c r="K408" s="72"/>
      <c r="L408" s="72"/>
      <c r="M408" s="72"/>
      <c r="N408" s="72"/>
      <c r="O408" s="72"/>
      <c r="P408" s="72"/>
    </row>
    <row r="409" spans="1:16">
      <c r="A409" s="70"/>
      <c r="B409" s="167"/>
      <c r="C409" s="70"/>
      <c r="D409" s="71"/>
      <c r="E409" s="72"/>
      <c r="F409" s="72"/>
      <c r="G409" s="72"/>
      <c r="H409" s="29"/>
      <c r="I409" s="29"/>
      <c r="J409" s="72"/>
      <c r="K409" s="72"/>
      <c r="L409" s="72"/>
      <c r="M409" s="72"/>
      <c r="N409" s="72"/>
      <c r="O409" s="72"/>
      <c r="P409" s="72"/>
    </row>
    <row r="410" spans="1:16">
      <c r="A410" s="70"/>
      <c r="B410" s="167"/>
      <c r="C410" s="70"/>
      <c r="D410" s="71"/>
      <c r="E410" s="72"/>
      <c r="F410" s="72"/>
      <c r="G410" s="72"/>
      <c r="H410" s="29"/>
      <c r="I410" s="29"/>
      <c r="J410" s="72"/>
      <c r="K410" s="72"/>
      <c r="L410" s="72"/>
      <c r="M410" s="72"/>
      <c r="N410" s="72"/>
      <c r="O410" s="72"/>
      <c r="P410" s="72"/>
    </row>
    <row r="411" spans="1:16">
      <c r="A411" s="70"/>
      <c r="B411" s="167"/>
      <c r="C411" s="70"/>
      <c r="D411" s="71"/>
      <c r="E411" s="72"/>
      <c r="F411" s="72"/>
      <c r="G411" s="72"/>
      <c r="H411" s="29"/>
      <c r="I411" s="29"/>
      <c r="J411" s="72"/>
      <c r="K411" s="72"/>
      <c r="L411" s="72"/>
      <c r="M411" s="72"/>
      <c r="N411" s="72"/>
      <c r="O411" s="72"/>
      <c r="P411" s="72"/>
    </row>
    <row r="412" spans="1:16">
      <c r="A412" s="70"/>
      <c r="B412" s="167"/>
      <c r="C412" s="70"/>
      <c r="D412" s="71"/>
      <c r="E412" s="72"/>
      <c r="F412" s="72"/>
      <c r="G412" s="72"/>
      <c r="H412" s="29"/>
      <c r="I412" s="29"/>
      <c r="J412" s="72"/>
      <c r="K412" s="72"/>
      <c r="L412" s="72"/>
      <c r="M412" s="72"/>
      <c r="N412" s="72"/>
      <c r="O412" s="72"/>
      <c r="P412" s="72"/>
    </row>
    <row r="413" spans="1:16">
      <c r="A413" s="70"/>
      <c r="B413" s="167"/>
      <c r="C413" s="70"/>
      <c r="D413" s="71"/>
      <c r="E413" s="72"/>
      <c r="F413" s="72"/>
      <c r="G413" s="72"/>
      <c r="H413" s="29"/>
      <c r="I413" s="29"/>
      <c r="J413" s="72"/>
      <c r="K413" s="72"/>
      <c r="L413" s="72"/>
      <c r="M413" s="72"/>
      <c r="N413" s="72"/>
      <c r="O413" s="72"/>
      <c r="P413" s="72"/>
    </row>
    <row r="414" spans="1:16">
      <c r="A414" s="70"/>
      <c r="B414" s="167"/>
      <c r="C414" s="70"/>
      <c r="D414" s="71"/>
      <c r="E414" s="72"/>
      <c r="F414" s="72"/>
      <c r="G414" s="72"/>
      <c r="H414" s="29"/>
      <c r="I414" s="29"/>
      <c r="J414" s="72"/>
      <c r="K414" s="72"/>
      <c r="L414" s="72"/>
      <c r="M414" s="72"/>
      <c r="N414" s="72"/>
      <c r="O414" s="72"/>
      <c r="P414" s="72"/>
    </row>
    <row r="415" spans="1:16">
      <c r="A415" s="70"/>
      <c r="B415" s="167"/>
      <c r="C415" s="70"/>
      <c r="D415" s="71"/>
      <c r="E415" s="72"/>
      <c r="F415" s="72"/>
      <c r="G415" s="72"/>
      <c r="H415" s="29"/>
      <c r="I415" s="29"/>
      <c r="J415" s="72"/>
      <c r="K415" s="72"/>
      <c r="L415" s="72"/>
      <c r="M415" s="72"/>
      <c r="N415" s="72"/>
      <c r="O415" s="72"/>
      <c r="P415" s="72"/>
    </row>
    <row r="416" spans="1:16">
      <c r="A416" s="70"/>
      <c r="B416" s="167"/>
      <c r="C416" s="70"/>
      <c r="D416" s="71"/>
      <c r="E416" s="72"/>
      <c r="F416" s="72"/>
      <c r="G416" s="72"/>
      <c r="H416" s="29"/>
      <c r="I416" s="29"/>
      <c r="J416" s="72"/>
      <c r="K416" s="72"/>
      <c r="L416" s="72"/>
      <c r="M416" s="72"/>
      <c r="N416" s="72"/>
      <c r="O416" s="72"/>
      <c r="P416" s="72"/>
    </row>
    <row r="417" spans="1:16">
      <c r="A417" s="70"/>
      <c r="B417" s="167"/>
      <c r="C417" s="70"/>
      <c r="D417" s="71"/>
      <c r="E417" s="72"/>
      <c r="F417" s="72"/>
      <c r="G417" s="72"/>
      <c r="H417" s="29"/>
      <c r="I417" s="29"/>
      <c r="J417" s="72"/>
      <c r="K417" s="72"/>
      <c r="L417" s="72"/>
      <c r="M417" s="72"/>
      <c r="N417" s="72"/>
      <c r="O417" s="72"/>
      <c r="P417" s="72"/>
    </row>
    <row r="418" spans="1:16">
      <c r="A418" s="70"/>
      <c r="B418" s="167"/>
      <c r="C418" s="70"/>
      <c r="D418" s="71"/>
      <c r="E418" s="72"/>
      <c r="F418" s="72"/>
      <c r="G418" s="72"/>
      <c r="H418" s="29"/>
      <c r="I418" s="29"/>
      <c r="J418" s="72"/>
      <c r="K418" s="72"/>
      <c r="L418" s="72"/>
      <c r="M418" s="72"/>
      <c r="N418" s="72"/>
      <c r="O418" s="72"/>
      <c r="P418" s="72"/>
    </row>
    <row r="419" spans="1:16">
      <c r="A419" s="70"/>
      <c r="B419" s="167"/>
      <c r="C419" s="70"/>
      <c r="D419" s="71"/>
      <c r="E419" s="72"/>
      <c r="F419" s="72"/>
      <c r="G419" s="72"/>
      <c r="H419" s="29"/>
      <c r="I419" s="29"/>
      <c r="J419" s="72"/>
      <c r="K419" s="72"/>
      <c r="L419" s="72"/>
      <c r="M419" s="72"/>
      <c r="N419" s="72"/>
      <c r="O419" s="72"/>
      <c r="P419" s="72"/>
    </row>
    <row r="420" spans="1:16">
      <c r="A420" s="70"/>
      <c r="B420" s="167"/>
      <c r="C420" s="70"/>
      <c r="D420" s="71"/>
      <c r="E420" s="72"/>
      <c r="F420" s="72"/>
      <c r="G420" s="72"/>
      <c r="H420" s="29"/>
      <c r="I420" s="29"/>
      <c r="J420" s="72"/>
      <c r="K420" s="72"/>
      <c r="L420" s="72"/>
      <c r="M420" s="72"/>
      <c r="N420" s="72"/>
      <c r="O420" s="72"/>
      <c r="P420" s="72"/>
    </row>
    <row r="421" spans="1:16">
      <c r="A421" s="70"/>
      <c r="B421" s="167"/>
      <c r="C421" s="70"/>
      <c r="D421" s="71"/>
      <c r="E421" s="72"/>
      <c r="F421" s="72"/>
      <c r="G421" s="72"/>
      <c r="H421" s="29"/>
      <c r="I421" s="29"/>
      <c r="J421" s="72"/>
      <c r="K421" s="72"/>
      <c r="L421" s="72"/>
      <c r="M421" s="72"/>
      <c r="N421" s="72"/>
      <c r="O421" s="72"/>
      <c r="P421" s="72"/>
    </row>
    <row r="422" spans="1:16">
      <c r="A422" s="70"/>
      <c r="B422" s="167"/>
      <c r="C422" s="70"/>
      <c r="D422" s="71"/>
      <c r="E422" s="72"/>
      <c r="F422" s="72"/>
      <c r="G422" s="72"/>
      <c r="H422" s="29"/>
      <c r="I422" s="29"/>
      <c r="J422" s="72"/>
      <c r="K422" s="72"/>
      <c r="L422" s="72"/>
      <c r="M422" s="72"/>
      <c r="N422" s="72"/>
      <c r="O422" s="72"/>
      <c r="P422" s="72"/>
    </row>
    <row r="423" spans="1:16">
      <c r="A423" s="70"/>
      <c r="B423" s="167"/>
      <c r="C423" s="70"/>
      <c r="D423" s="71"/>
      <c r="E423" s="72"/>
      <c r="F423" s="72"/>
      <c r="G423" s="72"/>
      <c r="H423" s="29"/>
      <c r="I423" s="29"/>
      <c r="J423" s="72"/>
      <c r="K423" s="72"/>
      <c r="L423" s="72"/>
      <c r="M423" s="72"/>
      <c r="N423" s="72"/>
      <c r="O423" s="72"/>
      <c r="P423" s="72"/>
    </row>
    <row r="424" spans="1:16">
      <c r="A424" s="70"/>
      <c r="B424" s="167"/>
      <c r="C424" s="70"/>
      <c r="D424" s="71"/>
      <c r="E424" s="72"/>
      <c r="F424" s="72"/>
      <c r="G424" s="72"/>
      <c r="H424" s="29"/>
      <c r="I424" s="29"/>
      <c r="J424" s="72"/>
      <c r="K424" s="72"/>
      <c r="L424" s="72"/>
      <c r="M424" s="72"/>
      <c r="N424" s="72"/>
      <c r="O424" s="72"/>
      <c r="P424" s="72"/>
    </row>
    <row r="425" spans="1:16">
      <c r="A425" s="70"/>
      <c r="B425" s="167"/>
      <c r="C425" s="70"/>
      <c r="D425" s="71"/>
      <c r="E425" s="72"/>
      <c r="F425" s="72"/>
      <c r="G425" s="72"/>
      <c r="H425" s="29"/>
      <c r="I425" s="29"/>
      <c r="J425" s="72"/>
      <c r="K425" s="72"/>
      <c r="L425" s="72"/>
      <c r="M425" s="72"/>
      <c r="N425" s="72"/>
      <c r="O425" s="72"/>
      <c r="P425" s="72"/>
    </row>
    <row r="426" spans="1:16">
      <c r="A426" s="70"/>
      <c r="B426" s="167"/>
      <c r="C426" s="70"/>
      <c r="D426" s="71"/>
      <c r="E426" s="72"/>
      <c r="F426" s="72"/>
      <c r="G426" s="72"/>
      <c r="H426" s="29"/>
      <c r="I426" s="29"/>
      <c r="J426" s="72"/>
      <c r="K426" s="72"/>
      <c r="L426" s="72"/>
      <c r="M426" s="72"/>
      <c r="N426" s="72"/>
      <c r="O426" s="72"/>
      <c r="P426" s="72"/>
    </row>
    <row r="427" spans="1:16">
      <c r="A427" s="70"/>
      <c r="B427" s="167"/>
      <c r="C427" s="70"/>
      <c r="D427" s="71"/>
      <c r="E427" s="72"/>
      <c r="F427" s="72"/>
      <c r="G427" s="72"/>
      <c r="H427" s="29"/>
      <c r="I427" s="29"/>
      <c r="J427" s="72"/>
      <c r="K427" s="72"/>
      <c r="L427" s="72"/>
      <c r="M427" s="72"/>
      <c r="N427" s="72"/>
      <c r="O427" s="72"/>
      <c r="P427" s="72"/>
    </row>
    <row r="428" spans="1:16">
      <c r="A428" s="70"/>
      <c r="B428" s="167"/>
      <c r="C428" s="70"/>
      <c r="D428" s="71"/>
      <c r="E428" s="72"/>
      <c r="F428" s="72"/>
      <c r="G428" s="72"/>
      <c r="H428" s="29"/>
      <c r="I428" s="29"/>
      <c r="J428" s="72"/>
      <c r="K428" s="72"/>
      <c r="L428" s="72"/>
      <c r="M428" s="72"/>
      <c r="N428" s="72"/>
      <c r="O428" s="72"/>
      <c r="P428" s="72"/>
    </row>
    <row r="429" spans="1:16">
      <c r="A429" s="70"/>
      <c r="B429" s="167"/>
      <c r="C429" s="70"/>
      <c r="D429" s="71"/>
      <c r="E429" s="72"/>
      <c r="F429" s="72"/>
      <c r="G429" s="72"/>
      <c r="H429" s="29"/>
      <c r="I429" s="29"/>
      <c r="J429" s="72"/>
      <c r="K429" s="72"/>
      <c r="L429" s="72"/>
      <c r="M429" s="72"/>
      <c r="N429" s="72"/>
      <c r="O429" s="72"/>
      <c r="P429" s="72"/>
    </row>
    <row r="430" spans="1:16">
      <c r="A430" s="70"/>
      <c r="B430" s="167"/>
      <c r="C430" s="70"/>
      <c r="D430" s="71"/>
      <c r="E430" s="72"/>
      <c r="F430" s="72"/>
      <c r="G430" s="72"/>
      <c r="H430" s="29"/>
      <c r="I430" s="29"/>
      <c r="J430" s="72"/>
      <c r="K430" s="72"/>
      <c r="L430" s="72"/>
      <c r="M430" s="72"/>
      <c r="N430" s="72"/>
      <c r="O430" s="72"/>
      <c r="P430" s="72"/>
    </row>
    <row r="431" spans="1:16">
      <c r="A431" s="70"/>
      <c r="B431" s="167"/>
      <c r="C431" s="70"/>
      <c r="D431" s="71"/>
      <c r="E431" s="72"/>
      <c r="F431" s="72"/>
      <c r="G431" s="72"/>
      <c r="H431" s="29"/>
      <c r="I431" s="29"/>
      <c r="J431" s="72"/>
      <c r="K431" s="72"/>
      <c r="L431" s="72"/>
      <c r="M431" s="72"/>
      <c r="N431" s="72"/>
      <c r="O431" s="72"/>
      <c r="P431" s="72"/>
    </row>
    <row r="432" spans="1:16">
      <c r="A432" s="70"/>
      <c r="B432" s="167"/>
      <c r="C432" s="70"/>
      <c r="D432" s="71"/>
      <c r="E432" s="72"/>
      <c r="F432" s="72"/>
      <c r="G432" s="72"/>
      <c r="H432" s="29"/>
      <c r="I432" s="29"/>
      <c r="J432" s="72"/>
      <c r="K432" s="72"/>
      <c r="L432" s="72"/>
      <c r="M432" s="72"/>
      <c r="N432" s="72"/>
      <c r="O432" s="72"/>
      <c r="P432" s="72"/>
    </row>
    <row r="433" spans="1:16">
      <c r="A433" s="70"/>
      <c r="B433" s="167"/>
      <c r="C433" s="70"/>
      <c r="D433" s="71"/>
      <c r="E433" s="72"/>
      <c r="F433" s="72"/>
      <c r="G433" s="72"/>
      <c r="H433" s="29"/>
      <c r="I433" s="29"/>
      <c r="J433" s="72"/>
      <c r="K433" s="72"/>
      <c r="L433" s="72"/>
      <c r="M433" s="72"/>
      <c r="N433" s="72"/>
      <c r="O433" s="72"/>
      <c r="P433" s="72"/>
    </row>
    <row r="434" spans="1:16">
      <c r="A434" s="70"/>
      <c r="B434" s="167"/>
      <c r="C434" s="70"/>
      <c r="D434" s="71"/>
      <c r="E434" s="72"/>
      <c r="F434" s="72"/>
      <c r="G434" s="72"/>
      <c r="H434" s="29"/>
      <c r="I434" s="29"/>
      <c r="J434" s="72"/>
      <c r="K434" s="72"/>
      <c r="L434" s="72"/>
      <c r="M434" s="72"/>
      <c r="N434" s="72"/>
      <c r="O434" s="72"/>
      <c r="P434" s="72"/>
    </row>
    <row r="435" spans="1:16">
      <c r="A435" s="70"/>
      <c r="B435" s="167"/>
      <c r="C435" s="70"/>
      <c r="D435" s="71"/>
      <c r="E435" s="72"/>
      <c r="F435" s="72"/>
      <c r="G435" s="72"/>
      <c r="H435" s="29"/>
      <c r="I435" s="29"/>
      <c r="J435" s="72"/>
      <c r="K435" s="72"/>
      <c r="L435" s="72"/>
      <c r="M435" s="72"/>
      <c r="N435" s="72"/>
      <c r="O435" s="72"/>
      <c r="P435" s="72"/>
    </row>
    <row r="436" spans="1:16">
      <c r="A436" s="70"/>
      <c r="B436" s="167"/>
      <c r="C436" s="70"/>
      <c r="D436" s="71"/>
      <c r="E436" s="72"/>
      <c r="F436" s="72"/>
      <c r="G436" s="72"/>
      <c r="H436" s="29"/>
      <c r="I436" s="29"/>
      <c r="J436" s="72"/>
      <c r="K436" s="72"/>
      <c r="L436" s="72"/>
      <c r="M436" s="72"/>
      <c r="N436" s="72"/>
      <c r="O436" s="72"/>
      <c r="P436" s="72"/>
    </row>
    <row r="437" spans="1:16">
      <c r="A437" s="70"/>
      <c r="B437" s="167"/>
      <c r="C437" s="70"/>
      <c r="D437" s="71"/>
      <c r="E437" s="72"/>
      <c r="F437" s="72"/>
      <c r="G437" s="72"/>
      <c r="H437" s="29"/>
      <c r="I437" s="29"/>
      <c r="J437" s="72"/>
      <c r="K437" s="72"/>
      <c r="L437" s="72"/>
      <c r="M437" s="72"/>
      <c r="N437" s="72"/>
      <c r="O437" s="72"/>
      <c r="P437" s="72"/>
    </row>
    <row r="438" spans="1:16">
      <c r="A438" s="70"/>
      <c r="B438" s="167"/>
      <c r="C438" s="70"/>
      <c r="D438" s="71"/>
      <c r="E438" s="72"/>
      <c r="F438" s="72"/>
      <c r="G438" s="72"/>
      <c r="H438" s="29"/>
      <c r="I438" s="29"/>
      <c r="J438" s="72"/>
      <c r="K438" s="72"/>
      <c r="L438" s="72"/>
      <c r="M438" s="72"/>
      <c r="N438" s="72"/>
      <c r="O438" s="72"/>
      <c r="P438" s="72"/>
    </row>
    <row r="439" spans="1:16">
      <c r="A439" s="70"/>
      <c r="B439" s="167"/>
      <c r="C439" s="70"/>
      <c r="D439" s="71"/>
      <c r="E439" s="72"/>
      <c r="F439" s="72"/>
      <c r="G439" s="72"/>
      <c r="H439" s="29"/>
      <c r="I439" s="29"/>
      <c r="J439" s="72"/>
      <c r="K439" s="72"/>
      <c r="L439" s="72"/>
      <c r="M439" s="72"/>
      <c r="N439" s="72"/>
      <c r="O439" s="72"/>
      <c r="P439" s="72"/>
    </row>
    <row r="440" spans="1:16">
      <c r="A440" s="70"/>
      <c r="B440" s="167"/>
      <c r="C440" s="70"/>
      <c r="D440" s="71"/>
      <c r="E440" s="72"/>
      <c r="F440" s="72"/>
      <c r="G440" s="72"/>
      <c r="H440" s="29"/>
      <c r="I440" s="29"/>
      <c r="J440" s="72"/>
      <c r="K440" s="72"/>
      <c r="L440" s="72"/>
      <c r="M440" s="72"/>
      <c r="N440" s="72"/>
      <c r="O440" s="72"/>
      <c r="P440" s="72"/>
    </row>
    <row r="441" spans="1:16">
      <c r="A441" s="70"/>
      <c r="B441" s="167"/>
      <c r="C441" s="70"/>
      <c r="D441" s="71"/>
      <c r="E441" s="72"/>
      <c r="F441" s="72"/>
      <c r="G441" s="72"/>
      <c r="H441" s="29"/>
      <c r="I441" s="29"/>
      <c r="J441" s="72"/>
      <c r="K441" s="72"/>
      <c r="L441" s="72"/>
      <c r="M441" s="72"/>
      <c r="N441" s="72"/>
      <c r="O441" s="72"/>
      <c r="P441" s="72"/>
    </row>
    <row r="442" spans="1:16">
      <c r="A442" s="70"/>
      <c r="B442" s="167"/>
      <c r="C442" s="70"/>
      <c r="D442" s="71"/>
      <c r="E442" s="72"/>
      <c r="F442" s="72"/>
      <c r="G442" s="72"/>
      <c r="H442" s="29"/>
      <c r="I442" s="29"/>
      <c r="J442" s="72"/>
      <c r="K442" s="72"/>
      <c r="L442" s="72"/>
      <c r="M442" s="72"/>
      <c r="N442" s="72"/>
      <c r="O442" s="72"/>
      <c r="P442" s="72"/>
    </row>
    <row r="443" spans="1:16">
      <c r="A443" s="70"/>
      <c r="B443" s="167"/>
      <c r="C443" s="70"/>
      <c r="D443" s="71"/>
      <c r="E443" s="72"/>
      <c r="F443" s="72"/>
      <c r="G443" s="72"/>
      <c r="H443" s="29"/>
      <c r="I443" s="29"/>
      <c r="J443" s="72"/>
      <c r="K443" s="72"/>
      <c r="L443" s="72"/>
      <c r="M443" s="72"/>
      <c r="N443" s="72"/>
      <c r="O443" s="72"/>
      <c r="P443" s="72"/>
    </row>
    <row r="444" spans="1:16">
      <c r="A444" s="70"/>
      <c r="B444" s="167"/>
      <c r="C444" s="70"/>
      <c r="D444" s="71"/>
      <c r="E444" s="72"/>
      <c r="F444" s="72"/>
      <c r="G444" s="72"/>
      <c r="H444" s="29"/>
      <c r="I444" s="29"/>
      <c r="J444" s="72"/>
      <c r="K444" s="72"/>
      <c r="L444" s="72"/>
      <c r="M444" s="72"/>
      <c r="N444" s="72"/>
      <c r="O444" s="72"/>
      <c r="P444" s="72"/>
    </row>
    <row r="445" spans="1:16">
      <c r="A445" s="70"/>
      <c r="B445" s="167"/>
      <c r="C445" s="70"/>
      <c r="D445" s="71"/>
      <c r="E445" s="72"/>
      <c r="F445" s="72"/>
      <c r="G445" s="72"/>
      <c r="H445" s="29"/>
      <c r="I445" s="29"/>
      <c r="J445" s="72"/>
      <c r="K445" s="72"/>
      <c r="L445" s="72"/>
      <c r="M445" s="72"/>
      <c r="N445" s="72"/>
      <c r="O445" s="72"/>
      <c r="P445" s="72"/>
    </row>
    <row r="446" spans="1:16">
      <c r="A446" s="70"/>
      <c r="B446" s="167"/>
      <c r="C446" s="70"/>
      <c r="D446" s="71"/>
      <c r="E446" s="72"/>
      <c r="F446" s="72"/>
      <c r="G446" s="72"/>
      <c r="H446" s="29"/>
      <c r="I446" s="29"/>
      <c r="J446" s="72"/>
      <c r="K446" s="72"/>
      <c r="L446" s="72"/>
      <c r="M446" s="72"/>
      <c r="N446" s="72"/>
      <c r="O446" s="72"/>
      <c r="P446" s="72"/>
    </row>
    <row r="447" spans="1:16">
      <c r="A447" s="70"/>
      <c r="B447" s="167"/>
      <c r="C447" s="70"/>
      <c r="D447" s="71"/>
      <c r="E447" s="72"/>
      <c r="F447" s="72"/>
      <c r="G447" s="72"/>
      <c r="H447" s="29"/>
      <c r="I447" s="29"/>
      <c r="J447" s="72"/>
      <c r="K447" s="72"/>
      <c r="L447" s="72"/>
      <c r="M447" s="72"/>
      <c r="N447" s="72"/>
      <c r="O447" s="72"/>
      <c r="P447" s="72"/>
    </row>
    <row r="448" spans="1:16">
      <c r="A448" s="70"/>
      <c r="B448" s="167"/>
      <c r="C448" s="70"/>
      <c r="D448" s="71"/>
      <c r="E448" s="72"/>
      <c r="F448" s="72"/>
      <c r="G448" s="72"/>
      <c r="H448" s="29"/>
      <c r="I448" s="29"/>
      <c r="J448" s="72"/>
      <c r="K448" s="72"/>
      <c r="L448" s="72"/>
      <c r="M448" s="72"/>
      <c r="N448" s="72"/>
      <c r="O448" s="72"/>
      <c r="P448" s="72"/>
    </row>
    <row r="449" spans="1:16">
      <c r="A449" s="70"/>
      <c r="B449" s="167"/>
      <c r="C449" s="70"/>
      <c r="D449" s="71"/>
      <c r="E449" s="72"/>
      <c r="F449" s="72"/>
      <c r="G449" s="72"/>
      <c r="H449" s="29"/>
      <c r="I449" s="29"/>
      <c r="J449" s="72"/>
      <c r="K449" s="72"/>
      <c r="L449" s="72"/>
      <c r="M449" s="72"/>
      <c r="N449" s="72"/>
      <c r="O449" s="72"/>
      <c r="P449" s="72"/>
    </row>
    <row r="450" spans="1:16">
      <c r="A450" s="70"/>
      <c r="B450" s="167"/>
      <c r="C450" s="70"/>
      <c r="D450" s="71"/>
      <c r="E450" s="72"/>
      <c r="F450" s="72"/>
      <c r="G450" s="72"/>
      <c r="H450" s="29"/>
      <c r="I450" s="29"/>
      <c r="J450" s="72"/>
      <c r="K450" s="72"/>
      <c r="L450" s="72"/>
      <c r="M450" s="72"/>
      <c r="N450" s="72"/>
      <c r="O450" s="72"/>
      <c r="P450" s="72"/>
    </row>
    <row r="451" spans="1:16">
      <c r="A451" s="70"/>
      <c r="B451" s="167"/>
      <c r="C451" s="70"/>
      <c r="D451" s="71"/>
      <c r="E451" s="72"/>
      <c r="F451" s="72"/>
      <c r="G451" s="72"/>
      <c r="H451" s="29"/>
      <c r="I451" s="29"/>
      <c r="J451" s="72"/>
      <c r="K451" s="72"/>
      <c r="L451" s="72"/>
      <c r="M451" s="72"/>
      <c r="N451" s="72"/>
      <c r="O451" s="72"/>
      <c r="P451" s="72"/>
    </row>
    <row r="452" spans="1:16">
      <c r="A452" s="70"/>
      <c r="C452" s="70"/>
      <c r="D452" s="71"/>
      <c r="E452" s="72"/>
      <c r="F452" s="72"/>
      <c r="G452" s="72"/>
      <c r="H452" s="29"/>
      <c r="I452" s="29"/>
      <c r="J452" s="72"/>
      <c r="K452" s="72"/>
      <c r="L452" s="72"/>
      <c r="M452" s="72"/>
      <c r="N452" s="72"/>
      <c r="O452" s="72"/>
      <c r="P452" s="72"/>
    </row>
    <row r="453" spans="1:16">
      <c r="A453" s="70"/>
      <c r="B453" s="168"/>
      <c r="C453" s="70"/>
      <c r="D453" s="71"/>
      <c r="E453" s="72"/>
      <c r="F453" s="72"/>
      <c r="G453" s="72"/>
      <c r="H453" s="29"/>
      <c r="I453" s="29"/>
      <c r="J453" s="72"/>
      <c r="K453" s="72"/>
      <c r="L453" s="72"/>
      <c r="M453" s="72"/>
      <c r="N453" s="72"/>
      <c r="O453" s="72"/>
      <c r="P453" s="72"/>
    </row>
    <row r="454" spans="1:16">
      <c r="A454" s="70"/>
      <c r="B454" s="169"/>
      <c r="C454" s="70"/>
      <c r="D454" s="71"/>
      <c r="E454" s="72"/>
      <c r="F454" s="72"/>
      <c r="G454" s="72"/>
      <c r="H454" s="29"/>
      <c r="I454" s="29"/>
      <c r="J454" s="72"/>
      <c r="K454" s="72"/>
      <c r="L454" s="72"/>
      <c r="M454" s="72"/>
      <c r="N454" s="72"/>
      <c r="O454" s="72"/>
      <c r="P454" s="72"/>
    </row>
    <row r="455" spans="1:16">
      <c r="A455" s="70"/>
      <c r="B455" s="170"/>
      <c r="C455" s="70"/>
      <c r="D455" s="71"/>
      <c r="E455" s="72"/>
      <c r="F455" s="72"/>
      <c r="G455" s="72"/>
      <c r="H455" s="29"/>
      <c r="I455" s="29"/>
      <c r="J455" s="72"/>
      <c r="K455" s="72"/>
      <c r="L455" s="72"/>
      <c r="M455" s="72"/>
      <c r="N455" s="72"/>
      <c r="O455" s="72"/>
      <c r="P455" s="72"/>
    </row>
    <row r="456" spans="1:16">
      <c r="A456" s="70"/>
      <c r="B456" s="170"/>
      <c r="C456" s="70"/>
      <c r="D456" s="71"/>
      <c r="E456" s="72"/>
      <c r="F456" s="72"/>
      <c r="G456" s="72"/>
      <c r="H456" s="29"/>
      <c r="I456" s="29"/>
      <c r="J456" s="72"/>
      <c r="K456" s="72"/>
      <c r="L456" s="72"/>
      <c r="M456" s="72"/>
      <c r="N456" s="72"/>
      <c r="O456" s="72"/>
      <c r="P456" s="72"/>
    </row>
    <row r="457" spans="1:16">
      <c r="A457" s="70"/>
      <c r="B457" s="170"/>
      <c r="C457" s="70"/>
      <c r="D457" s="71"/>
      <c r="E457" s="72"/>
      <c r="F457" s="72"/>
      <c r="G457" s="72"/>
      <c r="H457" s="29"/>
      <c r="I457" s="29"/>
      <c r="J457" s="72"/>
      <c r="K457" s="72"/>
      <c r="L457" s="72"/>
      <c r="M457" s="72"/>
      <c r="N457" s="72"/>
      <c r="O457" s="72"/>
      <c r="P457" s="72"/>
    </row>
    <row r="458" spans="1:16">
      <c r="A458" s="70"/>
      <c r="B458" s="171"/>
      <c r="C458" s="70"/>
      <c r="D458" s="71"/>
      <c r="E458" s="72"/>
      <c r="F458" s="72"/>
      <c r="G458" s="72"/>
      <c r="H458" s="29"/>
      <c r="I458" s="29"/>
      <c r="J458" s="72"/>
      <c r="K458" s="72"/>
      <c r="L458" s="72"/>
      <c r="M458" s="72"/>
      <c r="N458" s="72"/>
      <c r="O458" s="72"/>
      <c r="P458" s="72"/>
    </row>
    <row r="459" spans="1:16">
      <c r="A459" s="70"/>
      <c r="B459" s="171"/>
      <c r="C459" s="70"/>
      <c r="D459" s="71"/>
      <c r="E459" s="72"/>
      <c r="F459" s="72"/>
      <c r="G459" s="72"/>
      <c r="H459" s="29"/>
      <c r="I459" s="29"/>
      <c r="J459" s="72"/>
      <c r="K459" s="72"/>
      <c r="L459" s="72"/>
      <c r="M459" s="72"/>
      <c r="N459" s="72"/>
      <c r="O459" s="72"/>
      <c r="P459" s="72"/>
    </row>
    <row r="460" spans="1:16">
      <c r="A460" s="70"/>
      <c r="B460" s="171"/>
      <c r="C460" s="70"/>
      <c r="D460" s="71"/>
      <c r="E460" s="72"/>
      <c r="F460" s="72"/>
      <c r="G460" s="72"/>
      <c r="H460" s="29"/>
      <c r="I460" s="29"/>
      <c r="J460" s="72"/>
      <c r="K460" s="72"/>
      <c r="L460" s="72"/>
      <c r="M460" s="72"/>
      <c r="N460" s="72"/>
      <c r="O460" s="72"/>
      <c r="P460" s="72"/>
    </row>
    <row r="461" spans="1:16">
      <c r="A461" s="70"/>
      <c r="B461" s="171"/>
      <c r="C461" s="70"/>
      <c r="D461" s="71"/>
      <c r="E461" s="72"/>
      <c r="F461" s="72"/>
      <c r="G461" s="72"/>
      <c r="H461" s="29"/>
      <c r="I461" s="29"/>
      <c r="J461" s="72"/>
      <c r="K461" s="72"/>
      <c r="L461" s="72"/>
      <c r="M461" s="72"/>
      <c r="N461" s="72"/>
      <c r="O461" s="72"/>
      <c r="P461" s="72"/>
    </row>
    <row r="462" spans="1:16">
      <c r="A462" s="70"/>
      <c r="B462" s="171"/>
      <c r="C462" s="70"/>
      <c r="D462" s="71"/>
      <c r="E462" s="72"/>
      <c r="F462" s="72"/>
      <c r="G462" s="72"/>
      <c r="H462" s="29"/>
      <c r="I462" s="29"/>
      <c r="J462" s="72"/>
      <c r="K462" s="72"/>
      <c r="L462" s="72"/>
      <c r="M462" s="72"/>
      <c r="N462" s="72"/>
      <c r="O462" s="72"/>
      <c r="P462" s="72"/>
    </row>
    <row r="463" spans="1:16">
      <c r="A463" s="70"/>
      <c r="B463" s="170"/>
      <c r="C463" s="70"/>
      <c r="D463" s="71"/>
      <c r="E463" s="72"/>
      <c r="F463" s="72"/>
      <c r="G463" s="72"/>
      <c r="H463" s="29"/>
      <c r="I463" s="29"/>
      <c r="J463" s="72"/>
      <c r="K463" s="72"/>
      <c r="L463" s="72"/>
      <c r="M463" s="72"/>
      <c r="N463" s="72"/>
      <c r="O463" s="72"/>
      <c r="P463" s="72"/>
    </row>
    <row r="464" spans="1:16">
      <c r="A464" s="70"/>
      <c r="B464" s="170"/>
      <c r="C464" s="70"/>
      <c r="D464" s="71"/>
      <c r="E464" s="72"/>
      <c r="F464" s="72"/>
      <c r="G464" s="72"/>
      <c r="H464" s="29"/>
      <c r="I464" s="29"/>
      <c r="J464" s="72"/>
      <c r="K464" s="72"/>
      <c r="L464" s="72"/>
      <c r="M464" s="72"/>
      <c r="N464" s="72"/>
      <c r="O464" s="72"/>
      <c r="P464" s="72"/>
    </row>
    <row r="465" spans="1:16">
      <c r="A465" s="70"/>
      <c r="B465" s="170"/>
      <c r="C465" s="70"/>
      <c r="D465" s="71"/>
      <c r="E465" s="72"/>
      <c r="F465" s="72"/>
      <c r="G465" s="72"/>
      <c r="H465" s="29"/>
      <c r="I465" s="29"/>
      <c r="J465" s="72"/>
      <c r="K465" s="72"/>
      <c r="L465" s="72"/>
      <c r="M465" s="72"/>
      <c r="N465" s="72"/>
      <c r="O465" s="72"/>
      <c r="P465" s="72"/>
    </row>
    <row r="466" spans="1:16">
      <c r="A466" s="70"/>
      <c r="B466" s="170"/>
      <c r="C466" s="70"/>
      <c r="D466" s="71"/>
      <c r="E466" s="72"/>
      <c r="F466" s="72"/>
      <c r="G466" s="72"/>
      <c r="H466" s="29"/>
      <c r="I466" s="29"/>
      <c r="J466" s="72"/>
      <c r="K466" s="72"/>
      <c r="L466" s="72"/>
      <c r="M466" s="72"/>
      <c r="N466" s="72"/>
      <c r="O466" s="72"/>
      <c r="P466" s="72"/>
    </row>
    <row r="467" spans="1:16">
      <c r="A467" s="70"/>
      <c r="B467" s="172"/>
      <c r="C467" s="70"/>
      <c r="D467" s="71"/>
      <c r="E467" s="72"/>
      <c r="F467" s="72"/>
      <c r="G467" s="72"/>
      <c r="H467" s="29"/>
      <c r="I467" s="29"/>
      <c r="J467" s="72"/>
      <c r="K467" s="72"/>
      <c r="L467" s="72"/>
      <c r="M467" s="72"/>
      <c r="N467" s="72"/>
      <c r="O467" s="72"/>
      <c r="P467" s="72"/>
    </row>
    <row r="468" spans="1:16">
      <c r="A468" s="70"/>
      <c r="B468" s="172"/>
      <c r="C468" s="70"/>
      <c r="D468" s="71"/>
      <c r="E468" s="72"/>
      <c r="F468" s="72"/>
      <c r="G468" s="72"/>
      <c r="H468" s="29"/>
      <c r="I468" s="29"/>
      <c r="J468" s="72"/>
      <c r="K468" s="72"/>
      <c r="L468" s="72"/>
      <c r="M468" s="72"/>
      <c r="N468" s="72"/>
      <c r="O468" s="72"/>
      <c r="P468" s="72"/>
    </row>
    <row r="469" spans="1:16">
      <c r="A469" s="70"/>
      <c r="B469" s="172"/>
      <c r="C469" s="70"/>
      <c r="D469" s="71"/>
      <c r="E469" s="72"/>
      <c r="F469" s="72"/>
      <c r="G469" s="72"/>
      <c r="H469" s="29"/>
      <c r="I469" s="29"/>
      <c r="J469" s="72"/>
      <c r="K469" s="72"/>
      <c r="L469" s="72"/>
      <c r="M469" s="72"/>
      <c r="N469" s="72"/>
      <c r="O469" s="72"/>
      <c r="P469" s="72"/>
    </row>
    <row r="470" spans="1:16">
      <c r="A470" s="70"/>
      <c r="B470" s="173"/>
      <c r="C470" s="70"/>
      <c r="D470" s="71"/>
      <c r="E470" s="72"/>
      <c r="F470" s="72"/>
      <c r="G470" s="72"/>
      <c r="H470" s="29"/>
      <c r="I470" s="29"/>
      <c r="J470" s="72"/>
      <c r="K470" s="72"/>
      <c r="L470" s="72"/>
      <c r="M470" s="72"/>
      <c r="N470" s="72"/>
      <c r="O470" s="72"/>
      <c r="P470" s="72"/>
    </row>
    <row r="471" spans="1:16">
      <c r="A471" s="70"/>
      <c r="B471" s="173"/>
      <c r="C471" s="70"/>
      <c r="D471" s="71"/>
      <c r="E471" s="72"/>
      <c r="F471" s="72"/>
      <c r="G471" s="72"/>
      <c r="H471" s="29"/>
      <c r="I471" s="29"/>
      <c r="J471" s="72"/>
      <c r="K471" s="72"/>
      <c r="L471" s="72"/>
      <c r="M471" s="72"/>
      <c r="N471" s="72"/>
      <c r="O471" s="72"/>
      <c r="P471" s="72"/>
    </row>
    <row r="472" spans="1:16">
      <c r="A472" s="70"/>
      <c r="B472" s="173"/>
      <c r="C472" s="70"/>
      <c r="D472" s="71"/>
      <c r="E472" s="72"/>
      <c r="F472" s="72"/>
      <c r="G472" s="72"/>
      <c r="H472" s="29"/>
      <c r="I472" s="29"/>
      <c r="J472" s="72"/>
      <c r="K472" s="72"/>
      <c r="L472" s="72"/>
      <c r="M472" s="72"/>
      <c r="N472" s="72"/>
      <c r="O472" s="72"/>
      <c r="P472" s="72"/>
    </row>
    <row r="473" spans="1:16">
      <c r="A473" s="70"/>
      <c r="B473" s="174"/>
      <c r="C473" s="70"/>
      <c r="D473" s="71"/>
      <c r="E473" s="72"/>
      <c r="F473" s="72"/>
      <c r="G473" s="72"/>
      <c r="H473" s="29"/>
      <c r="I473" s="29"/>
      <c r="J473" s="72"/>
      <c r="K473" s="72"/>
      <c r="L473" s="72"/>
      <c r="M473" s="72"/>
      <c r="N473" s="72"/>
      <c r="O473" s="72"/>
      <c r="P473" s="72"/>
    </row>
    <row r="474" spans="1:16">
      <c r="A474" s="70"/>
      <c r="B474" s="174"/>
      <c r="C474" s="70"/>
      <c r="D474" s="71"/>
      <c r="E474" s="72"/>
      <c r="F474" s="72"/>
      <c r="G474" s="72"/>
      <c r="H474" s="29"/>
      <c r="I474" s="29"/>
      <c r="J474" s="72"/>
      <c r="K474" s="72"/>
      <c r="L474" s="72"/>
      <c r="M474" s="72"/>
      <c r="N474" s="72"/>
      <c r="O474" s="72"/>
      <c r="P474" s="72"/>
    </row>
    <row r="475" spans="1:16">
      <c r="A475" s="70"/>
      <c r="B475" s="175"/>
      <c r="C475" s="70"/>
      <c r="D475" s="71"/>
      <c r="E475" s="72"/>
      <c r="F475" s="72"/>
      <c r="G475" s="72"/>
      <c r="H475" s="29"/>
      <c r="I475" s="29"/>
      <c r="J475" s="72"/>
      <c r="K475" s="72"/>
      <c r="L475" s="72"/>
      <c r="M475" s="72"/>
      <c r="N475" s="72"/>
      <c r="O475" s="72"/>
      <c r="P475" s="72"/>
    </row>
    <row r="476" spans="1:16">
      <c r="A476" s="70"/>
      <c r="B476" s="169"/>
      <c r="C476" s="70"/>
      <c r="D476" s="71"/>
      <c r="E476" s="72"/>
      <c r="F476" s="72"/>
      <c r="G476" s="72"/>
      <c r="H476" s="29"/>
      <c r="I476" s="29"/>
      <c r="J476" s="72"/>
      <c r="K476" s="72"/>
      <c r="L476" s="72"/>
      <c r="M476" s="72"/>
      <c r="N476" s="72"/>
      <c r="O476" s="72"/>
      <c r="P476" s="72"/>
    </row>
    <row r="477" spans="1:16">
      <c r="A477" s="70"/>
      <c r="C477" s="70"/>
      <c r="D477" s="71"/>
      <c r="E477" s="72"/>
      <c r="F477" s="72"/>
      <c r="G477" s="72"/>
      <c r="H477" s="29"/>
      <c r="I477" s="29"/>
      <c r="J477" s="72"/>
      <c r="K477" s="72"/>
      <c r="L477" s="72"/>
      <c r="M477" s="72"/>
      <c r="N477" s="72"/>
      <c r="O477" s="72"/>
      <c r="P477" s="72"/>
    </row>
    <row r="478" spans="1:16">
      <c r="A478" s="70"/>
      <c r="B478" s="168"/>
      <c r="C478" s="70"/>
      <c r="D478" s="71"/>
      <c r="E478" s="72"/>
      <c r="F478" s="72"/>
      <c r="G478" s="72"/>
      <c r="H478" s="29"/>
      <c r="I478" s="29"/>
      <c r="J478" s="72"/>
      <c r="K478" s="72"/>
      <c r="L478" s="72"/>
      <c r="M478" s="72"/>
      <c r="N478" s="72"/>
      <c r="O478" s="72"/>
      <c r="P478" s="72"/>
    </row>
    <row r="479" spans="1:16">
      <c r="A479" s="70"/>
      <c r="B479" s="169"/>
      <c r="C479" s="70"/>
      <c r="D479" s="71"/>
      <c r="E479" s="72"/>
      <c r="F479" s="72"/>
      <c r="G479" s="72"/>
      <c r="H479" s="29"/>
      <c r="I479" s="29"/>
      <c r="J479" s="72"/>
      <c r="K479" s="72"/>
      <c r="L479" s="72"/>
      <c r="M479" s="72"/>
      <c r="N479" s="72"/>
      <c r="O479" s="72"/>
      <c r="P479" s="72"/>
    </row>
    <row r="480" spans="1:16">
      <c r="A480" s="70"/>
      <c r="B480" s="169"/>
      <c r="C480" s="70"/>
      <c r="D480" s="71"/>
      <c r="E480" s="72"/>
      <c r="F480" s="72"/>
      <c r="G480" s="72"/>
      <c r="H480" s="29"/>
      <c r="I480" s="29"/>
      <c r="J480" s="72"/>
      <c r="K480" s="72"/>
      <c r="L480" s="72"/>
      <c r="M480" s="72"/>
      <c r="N480" s="72"/>
      <c r="O480" s="72"/>
      <c r="P480" s="72"/>
    </row>
    <row r="481" spans="1:16">
      <c r="A481" s="70"/>
      <c r="B481" s="169"/>
      <c r="C481" s="70"/>
      <c r="D481" s="71"/>
      <c r="E481" s="72"/>
      <c r="F481" s="72"/>
      <c r="G481" s="72"/>
      <c r="H481" s="29"/>
      <c r="I481" s="29"/>
      <c r="J481" s="72"/>
      <c r="K481" s="72"/>
      <c r="L481" s="72"/>
      <c r="M481" s="72"/>
      <c r="N481" s="72"/>
      <c r="O481" s="72"/>
      <c r="P481" s="72"/>
    </row>
    <row r="482" spans="1:16">
      <c r="A482" s="70"/>
      <c r="B482" s="169"/>
      <c r="C482" s="70"/>
      <c r="D482" s="71"/>
      <c r="E482" s="72"/>
      <c r="F482" s="72"/>
      <c r="G482" s="72"/>
      <c r="H482" s="29"/>
      <c r="I482" s="29"/>
      <c r="J482" s="72"/>
      <c r="K482" s="72"/>
      <c r="L482" s="72"/>
      <c r="M482" s="72"/>
      <c r="N482" s="72"/>
      <c r="O482" s="72"/>
      <c r="P482" s="72"/>
    </row>
    <row r="483" spans="1:16">
      <c r="A483" s="70"/>
      <c r="B483" s="169"/>
      <c r="C483" s="70"/>
      <c r="D483" s="71"/>
      <c r="E483" s="72"/>
      <c r="F483" s="72"/>
      <c r="G483" s="72"/>
      <c r="H483" s="29"/>
      <c r="I483" s="29"/>
      <c r="J483" s="72"/>
      <c r="K483" s="72"/>
      <c r="L483" s="72"/>
      <c r="M483" s="72"/>
      <c r="N483" s="72"/>
      <c r="O483" s="72"/>
      <c r="P483" s="72"/>
    </row>
    <row r="484" spans="1:16">
      <c r="A484" s="70"/>
      <c r="B484" s="169"/>
      <c r="C484" s="70"/>
      <c r="D484" s="71"/>
      <c r="E484" s="72"/>
      <c r="F484" s="72"/>
      <c r="G484" s="72"/>
      <c r="H484" s="29"/>
      <c r="I484" s="29"/>
      <c r="J484" s="72"/>
      <c r="K484" s="72"/>
      <c r="L484" s="72"/>
      <c r="M484" s="72"/>
      <c r="N484" s="72"/>
      <c r="O484" s="72"/>
      <c r="P484" s="72"/>
    </row>
    <row r="485" spans="1:16">
      <c r="A485" s="70"/>
      <c r="B485" s="169"/>
      <c r="C485" s="70"/>
      <c r="D485" s="71"/>
      <c r="E485" s="72"/>
      <c r="F485" s="72"/>
      <c r="G485" s="72"/>
      <c r="H485" s="29"/>
      <c r="I485" s="29"/>
      <c r="J485" s="72"/>
      <c r="K485" s="72"/>
      <c r="L485" s="72"/>
      <c r="M485" s="72"/>
      <c r="N485" s="72"/>
      <c r="O485" s="72"/>
      <c r="P485" s="72"/>
    </row>
    <row r="486" spans="1:16">
      <c r="A486" s="70"/>
      <c r="B486" s="169"/>
      <c r="C486" s="70"/>
      <c r="D486" s="71"/>
      <c r="E486" s="72"/>
      <c r="F486" s="72"/>
      <c r="G486" s="72"/>
      <c r="H486" s="29"/>
      <c r="I486" s="29"/>
      <c r="J486" s="72"/>
      <c r="K486" s="72"/>
      <c r="L486" s="72"/>
      <c r="M486" s="72"/>
      <c r="N486" s="72"/>
      <c r="O486" s="72"/>
      <c r="P486" s="72"/>
    </row>
    <row r="487" spans="1:16">
      <c r="A487" s="70"/>
      <c r="B487" s="169"/>
      <c r="C487" s="70"/>
      <c r="D487" s="71"/>
      <c r="E487" s="72"/>
      <c r="F487" s="72"/>
      <c r="G487" s="72"/>
      <c r="H487" s="29"/>
      <c r="I487" s="29"/>
      <c r="J487" s="72"/>
      <c r="K487" s="72"/>
      <c r="L487" s="72"/>
      <c r="M487" s="72"/>
      <c r="N487" s="72"/>
      <c r="O487" s="72"/>
      <c r="P487" s="72"/>
    </row>
    <row r="488" spans="1:16">
      <c r="A488" s="70"/>
      <c r="B488" s="169"/>
      <c r="C488" s="70"/>
      <c r="D488" s="71"/>
      <c r="E488" s="72"/>
      <c r="F488" s="72"/>
      <c r="G488" s="72"/>
      <c r="H488" s="29"/>
      <c r="I488" s="29"/>
      <c r="J488" s="72"/>
      <c r="K488" s="72"/>
      <c r="L488" s="72"/>
      <c r="M488" s="72"/>
      <c r="N488" s="72"/>
      <c r="O488" s="72"/>
      <c r="P488" s="72"/>
    </row>
    <row r="489" spans="1:16">
      <c r="A489" s="70"/>
      <c r="B489" s="169"/>
      <c r="C489" s="70"/>
      <c r="D489" s="71"/>
      <c r="E489" s="72"/>
      <c r="F489" s="72"/>
      <c r="G489" s="72"/>
      <c r="H489" s="29"/>
      <c r="I489" s="29"/>
      <c r="J489" s="72"/>
      <c r="K489" s="72"/>
      <c r="L489" s="72"/>
      <c r="M489" s="72"/>
      <c r="N489" s="72"/>
      <c r="O489" s="72"/>
      <c r="P489" s="72"/>
    </row>
    <row r="490" spans="1:16">
      <c r="A490" s="70"/>
      <c r="B490" s="169"/>
      <c r="C490" s="70"/>
      <c r="D490" s="71"/>
      <c r="E490" s="72"/>
      <c r="F490" s="72"/>
      <c r="G490" s="72"/>
      <c r="H490" s="29"/>
      <c r="I490" s="29"/>
      <c r="J490" s="72"/>
      <c r="K490" s="72"/>
      <c r="L490" s="72"/>
      <c r="M490" s="72"/>
      <c r="N490" s="72"/>
      <c r="O490" s="72"/>
      <c r="P490" s="72"/>
    </row>
    <row r="491" spans="1:16">
      <c r="A491" s="70"/>
      <c r="B491" s="169"/>
      <c r="C491" s="70"/>
      <c r="D491" s="71"/>
      <c r="E491" s="72"/>
      <c r="F491" s="72"/>
      <c r="G491" s="72"/>
      <c r="H491" s="29"/>
      <c r="I491" s="29"/>
      <c r="J491" s="72"/>
      <c r="K491" s="72"/>
      <c r="L491" s="72"/>
      <c r="M491" s="72"/>
      <c r="N491" s="72"/>
      <c r="O491" s="72"/>
      <c r="P491" s="72"/>
    </row>
    <row r="492" spans="1:16">
      <c r="A492" s="70"/>
      <c r="B492" s="176"/>
      <c r="C492" s="70"/>
      <c r="D492" s="71"/>
      <c r="E492" s="72"/>
      <c r="F492" s="72"/>
      <c r="G492" s="72"/>
      <c r="H492" s="29"/>
      <c r="I492" s="29"/>
      <c r="J492" s="72"/>
      <c r="K492" s="72"/>
      <c r="L492" s="72"/>
      <c r="M492" s="72"/>
      <c r="N492" s="72"/>
      <c r="O492" s="72"/>
      <c r="P492" s="72"/>
    </row>
    <row r="493" spans="1:16">
      <c r="B493" s="176"/>
      <c r="C493" s="177"/>
      <c r="D493" s="178" t="s">
        <v>57</v>
      </c>
      <c r="E493" s="179" t="s">
        <v>58</v>
      </c>
      <c r="F493" s="76" t="s">
        <v>59</v>
      </c>
      <c r="G493" s="76"/>
      <c r="H493" s="180" t="s">
        <v>60</v>
      </c>
      <c r="J493" s="181"/>
      <c r="K493" s="181"/>
      <c r="N493" s="181"/>
      <c r="O493" s="181"/>
      <c r="P493" s="182"/>
    </row>
    <row r="494" spans="1:16">
      <c r="A494" s="183">
        <f>SUM(A495:A515)</f>
        <v>132</v>
      </c>
      <c r="B494" s="168"/>
      <c r="C494" s="79" t="s">
        <v>61</v>
      </c>
      <c r="D494" s="184"/>
      <c r="E494" s="185"/>
      <c r="F494" s="76"/>
      <c r="G494" s="76"/>
      <c r="H494" s="186"/>
      <c r="I494" s="187">
        <v>312.98799999999994</v>
      </c>
      <c r="J494" s="181"/>
      <c r="K494" s="181"/>
      <c r="L494" s="187">
        <f>SUM(L496:L515)</f>
        <v>857.07999999999993</v>
      </c>
      <c r="M494" s="187">
        <f>SUM(M496:M515)</f>
        <v>173.30999999999997</v>
      </c>
      <c r="N494" s="181"/>
      <c r="O494" s="181"/>
      <c r="P494" s="182"/>
    </row>
    <row r="495" spans="1:16">
      <c r="A495" s="83"/>
      <c r="B495" s="176"/>
      <c r="C495" s="188"/>
      <c r="D495" s="184"/>
      <c r="E495" s="185"/>
      <c r="F495" s="76"/>
      <c r="G495" s="76"/>
      <c r="H495" s="186"/>
      <c r="I495" s="187"/>
      <c r="J495" s="181"/>
      <c r="K495" s="181"/>
      <c r="L495" s="187"/>
      <c r="M495" s="187"/>
      <c r="N495" s="181"/>
      <c r="O495" s="181"/>
      <c r="P495" s="182"/>
    </row>
    <row r="496" spans="1:16">
      <c r="A496" s="85">
        <f>1</f>
        <v>1</v>
      </c>
      <c r="B496" s="189"/>
      <c r="C496" s="188" t="s">
        <v>62</v>
      </c>
      <c r="D496" s="190">
        <f>0.97</f>
        <v>0.97</v>
      </c>
      <c r="E496" s="191">
        <f>0.57</f>
        <v>0.56999999999999995</v>
      </c>
      <c r="F496" s="88">
        <v>0.55289999999999995</v>
      </c>
      <c r="G496" s="88"/>
      <c r="H496" s="192">
        <v>3.08</v>
      </c>
      <c r="I496" s="192">
        <v>0.55289999999999995</v>
      </c>
      <c r="J496" s="181"/>
      <c r="K496" s="181"/>
      <c r="L496" s="192">
        <f t="shared" ref="L496:L515" si="0">A496*(H496-D496)</f>
        <v>2.1100000000000003</v>
      </c>
      <c r="M496" s="192">
        <f t="shared" ref="M496:M515" si="1">A496*D496</f>
        <v>0.97</v>
      </c>
      <c r="N496" s="181"/>
      <c r="O496" s="181"/>
      <c r="P496" s="193"/>
    </row>
    <row r="497" spans="1:16">
      <c r="A497" s="85">
        <f>1</f>
        <v>1</v>
      </c>
      <c r="B497" s="189"/>
      <c r="C497" s="188" t="s">
        <v>63</v>
      </c>
      <c r="D497" s="190">
        <f>0.97</f>
        <v>0.97</v>
      </c>
      <c r="E497" s="191">
        <f>0.57</f>
        <v>0.56999999999999995</v>
      </c>
      <c r="F497" s="88">
        <v>0.55289999999999995</v>
      </c>
      <c r="G497" s="88"/>
      <c r="H497" s="192">
        <v>3.08</v>
      </c>
      <c r="I497" s="192">
        <v>0.55289999999999995</v>
      </c>
      <c r="J497" s="181"/>
      <c r="K497" s="181"/>
      <c r="L497" s="192">
        <f t="shared" si="0"/>
        <v>2.1100000000000003</v>
      </c>
      <c r="M497" s="192">
        <f t="shared" si="1"/>
        <v>0.97</v>
      </c>
      <c r="N497" s="181"/>
      <c r="O497" s="181"/>
      <c r="P497" s="181"/>
    </row>
    <row r="498" spans="1:16">
      <c r="A498" s="85">
        <f>1</f>
        <v>1</v>
      </c>
      <c r="B498" s="189"/>
      <c r="C498" s="188" t="s">
        <v>64</v>
      </c>
      <c r="D498" s="190">
        <f>2.97</f>
        <v>2.97</v>
      </c>
      <c r="E498" s="191">
        <f>0.57</f>
        <v>0.56999999999999995</v>
      </c>
      <c r="F498" s="88">
        <v>1.6929000000000001</v>
      </c>
      <c r="G498" s="88"/>
      <c r="H498" s="192">
        <v>8.2200000000000006</v>
      </c>
      <c r="I498" s="192">
        <v>1.6929000000000001</v>
      </c>
      <c r="J498" s="181"/>
      <c r="K498" s="181"/>
      <c r="L498" s="192">
        <f t="shared" si="0"/>
        <v>5.25</v>
      </c>
      <c r="M498" s="192">
        <f t="shared" si="1"/>
        <v>2.97</v>
      </c>
      <c r="N498" s="181"/>
      <c r="O498" s="181"/>
      <c r="P498" s="181"/>
    </row>
    <row r="499" spans="1:16">
      <c r="A499" s="90">
        <f>1</f>
        <v>1</v>
      </c>
      <c r="B499" s="189"/>
      <c r="C499" s="188" t="s">
        <v>65</v>
      </c>
      <c r="D499" s="190">
        <f>0.53</f>
        <v>0.53</v>
      </c>
      <c r="E499" s="191">
        <f t="shared" ref="E499:E505" si="2">1.77</f>
        <v>1.77</v>
      </c>
      <c r="F499" s="88">
        <v>0.93810000000000004</v>
      </c>
      <c r="G499" s="88"/>
      <c r="H499" s="192">
        <v>4.5999999999999996</v>
      </c>
      <c r="I499" s="192">
        <v>0.93810000000000004</v>
      </c>
      <c r="J499" s="181"/>
      <c r="K499" s="181"/>
      <c r="L499" s="192">
        <f t="shared" si="0"/>
        <v>4.0699999999999994</v>
      </c>
      <c r="M499" s="192">
        <f t="shared" si="1"/>
        <v>0.53</v>
      </c>
      <c r="N499" s="181"/>
      <c r="O499" s="181"/>
      <c r="P499" s="181"/>
    </row>
    <row r="500" spans="1:16">
      <c r="A500" s="90">
        <f>1</f>
        <v>1</v>
      </c>
      <c r="B500" s="189"/>
      <c r="C500" s="188" t="s">
        <v>66</v>
      </c>
      <c r="D500" s="190">
        <f>0.77</f>
        <v>0.77</v>
      </c>
      <c r="E500" s="191">
        <f t="shared" si="2"/>
        <v>1.77</v>
      </c>
      <c r="F500" s="88">
        <v>1.3629</v>
      </c>
      <c r="G500" s="88"/>
      <c r="H500" s="192">
        <v>5.08</v>
      </c>
      <c r="I500" s="192">
        <v>1.3629</v>
      </c>
      <c r="J500" s="181"/>
      <c r="K500" s="181"/>
      <c r="L500" s="192">
        <f t="shared" si="0"/>
        <v>4.3100000000000005</v>
      </c>
      <c r="M500" s="192">
        <f t="shared" si="1"/>
        <v>0.77</v>
      </c>
      <c r="N500" s="181"/>
      <c r="O500" s="181"/>
      <c r="P500" s="181"/>
    </row>
    <row r="501" spans="1:16">
      <c r="A501" s="90">
        <f>1</f>
        <v>1</v>
      </c>
      <c r="B501" s="189"/>
      <c r="C501" s="188" t="s">
        <v>67</v>
      </c>
      <c r="D501" s="190">
        <f>0.77</f>
        <v>0.77</v>
      </c>
      <c r="E501" s="191">
        <f t="shared" si="2"/>
        <v>1.77</v>
      </c>
      <c r="F501" s="88">
        <v>1.3629</v>
      </c>
      <c r="G501" s="88"/>
      <c r="H501" s="192">
        <v>5.08</v>
      </c>
      <c r="I501" s="192">
        <v>1.3629</v>
      </c>
      <c r="J501" s="181"/>
      <c r="K501" s="181"/>
      <c r="L501" s="192">
        <f t="shared" si="0"/>
        <v>4.3100000000000005</v>
      </c>
      <c r="M501" s="192">
        <f t="shared" si="1"/>
        <v>0.77</v>
      </c>
      <c r="N501" s="181"/>
      <c r="O501" s="181"/>
      <c r="P501" s="181"/>
    </row>
    <row r="502" spans="1:16">
      <c r="A502" s="90">
        <f>10+16</f>
        <v>26</v>
      </c>
      <c r="B502" s="189"/>
      <c r="C502" s="188" t="s">
        <v>68</v>
      </c>
      <c r="D502" s="190">
        <f>1.17</f>
        <v>1.17</v>
      </c>
      <c r="E502" s="191">
        <f t="shared" si="2"/>
        <v>1.77</v>
      </c>
      <c r="F502" s="88">
        <v>2.0709</v>
      </c>
      <c r="G502" s="88"/>
      <c r="H502" s="192">
        <v>5.88</v>
      </c>
      <c r="I502" s="192">
        <v>53.843400000000003</v>
      </c>
      <c r="J502" s="181"/>
      <c r="K502" s="181"/>
      <c r="L502" s="192">
        <f t="shared" si="0"/>
        <v>122.46</v>
      </c>
      <c r="M502" s="192">
        <f t="shared" si="1"/>
        <v>30.419999999999998</v>
      </c>
      <c r="N502" s="181"/>
      <c r="O502" s="181"/>
      <c r="P502" s="181"/>
    </row>
    <row r="503" spans="1:16">
      <c r="A503" s="90">
        <f>10+13</f>
        <v>23</v>
      </c>
      <c r="B503" s="189"/>
      <c r="C503" s="188" t="s">
        <v>69</v>
      </c>
      <c r="D503" s="190">
        <f>1.17</f>
        <v>1.17</v>
      </c>
      <c r="E503" s="191">
        <f t="shared" si="2"/>
        <v>1.77</v>
      </c>
      <c r="F503" s="88">
        <v>2.0709</v>
      </c>
      <c r="G503" s="88"/>
      <c r="H503" s="192">
        <v>5.88</v>
      </c>
      <c r="I503" s="192">
        <v>47.630699999999997</v>
      </c>
      <c r="J503" s="181"/>
      <c r="K503" s="181"/>
      <c r="L503" s="192">
        <f t="shared" si="0"/>
        <v>108.33</v>
      </c>
      <c r="M503" s="192">
        <f t="shared" si="1"/>
        <v>26.909999999999997</v>
      </c>
      <c r="N503" s="181"/>
      <c r="O503" s="181"/>
      <c r="P503" s="181"/>
    </row>
    <row r="504" spans="1:16">
      <c r="A504" s="85">
        <f>8+14</f>
        <v>22</v>
      </c>
      <c r="B504" s="189"/>
      <c r="C504" s="188" t="s">
        <v>70</v>
      </c>
      <c r="D504" s="190">
        <f>1.57</f>
        <v>1.57</v>
      </c>
      <c r="E504" s="191">
        <f t="shared" si="2"/>
        <v>1.77</v>
      </c>
      <c r="F504" s="88">
        <v>2.7789000000000001</v>
      </c>
      <c r="G504" s="88"/>
      <c r="H504" s="192">
        <v>10.02</v>
      </c>
      <c r="I504" s="192">
        <v>61.135800000000003</v>
      </c>
      <c r="J504" s="181"/>
      <c r="K504" s="181"/>
      <c r="L504" s="192">
        <f t="shared" si="0"/>
        <v>185.89999999999998</v>
      </c>
      <c r="M504" s="192">
        <f t="shared" si="1"/>
        <v>34.54</v>
      </c>
      <c r="N504" s="181"/>
      <c r="O504" s="181"/>
      <c r="P504" s="181"/>
    </row>
    <row r="505" spans="1:16">
      <c r="A505" s="85">
        <f>7+13</f>
        <v>20</v>
      </c>
      <c r="B505" s="189"/>
      <c r="C505" s="188" t="s">
        <v>71</v>
      </c>
      <c r="D505" s="190">
        <f>1.57</f>
        <v>1.57</v>
      </c>
      <c r="E505" s="191">
        <f t="shared" si="2"/>
        <v>1.77</v>
      </c>
      <c r="F505" s="88">
        <v>2.7789000000000001</v>
      </c>
      <c r="G505" s="88"/>
      <c r="H505" s="192">
        <v>10.02</v>
      </c>
      <c r="I505" s="192">
        <v>55.578000000000003</v>
      </c>
      <c r="J505" s="181"/>
      <c r="K505" s="181"/>
      <c r="L505" s="192">
        <f t="shared" si="0"/>
        <v>169</v>
      </c>
      <c r="M505" s="192">
        <f t="shared" si="1"/>
        <v>31.400000000000002</v>
      </c>
      <c r="N505" s="181"/>
      <c r="O505" s="181"/>
      <c r="P505" s="181"/>
    </row>
    <row r="506" spans="1:16">
      <c r="A506" s="85">
        <f>6</f>
        <v>6</v>
      </c>
      <c r="B506" s="168"/>
      <c r="C506" s="188" t="s">
        <v>72</v>
      </c>
      <c r="D506" s="190">
        <f>1.17</f>
        <v>1.17</v>
      </c>
      <c r="E506" s="191">
        <f>2.07</f>
        <v>2.0699999999999998</v>
      </c>
      <c r="F506" s="88">
        <v>2.4218999999999995</v>
      </c>
      <c r="G506" s="88"/>
      <c r="H506" s="192">
        <v>7.65</v>
      </c>
      <c r="I506" s="192">
        <v>14.531399999999998</v>
      </c>
      <c r="J506" s="181"/>
      <c r="K506" s="181"/>
      <c r="L506" s="192">
        <f t="shared" si="0"/>
        <v>38.880000000000003</v>
      </c>
      <c r="M506" s="192">
        <f t="shared" si="1"/>
        <v>7.02</v>
      </c>
      <c r="N506" s="181"/>
      <c r="O506" s="181"/>
      <c r="P506" s="181"/>
    </row>
    <row r="507" spans="1:16">
      <c r="A507" s="85">
        <f>3+1+1</f>
        <v>5</v>
      </c>
      <c r="B507" s="169"/>
      <c r="C507" s="188" t="s">
        <v>73</v>
      </c>
      <c r="D507" s="190">
        <f>1.17</f>
        <v>1.17</v>
      </c>
      <c r="E507" s="191">
        <f>2.07</f>
        <v>2.0699999999999998</v>
      </c>
      <c r="F507" s="88">
        <v>2.4218999999999995</v>
      </c>
      <c r="G507" s="88"/>
      <c r="H507" s="192">
        <v>7.65</v>
      </c>
      <c r="I507" s="192">
        <v>12.109499999999997</v>
      </c>
      <c r="J507" s="181"/>
      <c r="K507" s="181"/>
      <c r="L507" s="192">
        <f t="shared" si="0"/>
        <v>32.400000000000006</v>
      </c>
      <c r="M507" s="192">
        <f t="shared" si="1"/>
        <v>5.85</v>
      </c>
      <c r="N507" s="181"/>
      <c r="O507" s="181"/>
      <c r="P507" s="181"/>
    </row>
    <row r="508" spans="1:16">
      <c r="A508" s="91">
        <f>1</f>
        <v>1</v>
      </c>
      <c r="B508" s="169"/>
      <c r="C508" s="188" t="s">
        <v>74</v>
      </c>
      <c r="D508" s="190">
        <f>0.97</f>
        <v>0.97</v>
      </c>
      <c r="E508" s="191">
        <f>0.57</f>
        <v>0.56999999999999995</v>
      </c>
      <c r="F508" s="88">
        <v>0.55289999999999995</v>
      </c>
      <c r="G508" s="88"/>
      <c r="H508" s="192">
        <v>3.08</v>
      </c>
      <c r="I508" s="192">
        <v>0.55289999999999995</v>
      </c>
      <c r="J508" s="181"/>
      <c r="K508" s="181"/>
      <c r="L508" s="192">
        <f t="shared" si="0"/>
        <v>2.1100000000000003</v>
      </c>
      <c r="M508" s="192">
        <f t="shared" si="1"/>
        <v>0.97</v>
      </c>
      <c r="N508" s="181"/>
      <c r="O508" s="181"/>
      <c r="P508" s="181"/>
    </row>
    <row r="509" spans="1:16">
      <c r="A509" s="91">
        <f>1</f>
        <v>1</v>
      </c>
      <c r="B509" s="169"/>
      <c r="C509" s="188" t="s">
        <v>75</v>
      </c>
      <c r="D509" s="190">
        <f>2.62</f>
        <v>2.62</v>
      </c>
      <c r="E509" s="191">
        <f>2.07</f>
        <v>2.0699999999999998</v>
      </c>
      <c r="F509" s="88">
        <v>5.4234</v>
      </c>
      <c r="G509" s="88"/>
      <c r="H509" s="192">
        <v>14.07</v>
      </c>
      <c r="I509" s="192">
        <v>5.4234</v>
      </c>
      <c r="J509" s="181"/>
      <c r="K509" s="181"/>
      <c r="L509" s="192">
        <f t="shared" si="0"/>
        <v>11.45</v>
      </c>
      <c r="M509" s="192">
        <f t="shared" si="1"/>
        <v>2.62</v>
      </c>
      <c r="N509" s="181"/>
      <c r="O509" s="181"/>
      <c r="P509" s="181"/>
    </row>
    <row r="510" spans="1:16">
      <c r="A510" s="91">
        <f>10</f>
        <v>10</v>
      </c>
      <c r="B510" s="169"/>
      <c r="C510" s="188" t="s">
        <v>76</v>
      </c>
      <c r="D510" s="190">
        <f>0.77</f>
        <v>0.77</v>
      </c>
      <c r="E510" s="191">
        <f>3.37</f>
        <v>3.37</v>
      </c>
      <c r="F510" s="88">
        <v>2.5949</v>
      </c>
      <c r="G510" s="88"/>
      <c r="H510" s="192">
        <v>9.82</v>
      </c>
      <c r="I510" s="192">
        <v>25.948999999999998</v>
      </c>
      <c r="J510" s="181"/>
      <c r="K510" s="181"/>
      <c r="L510" s="192">
        <f t="shared" si="0"/>
        <v>90.5</v>
      </c>
      <c r="M510" s="192">
        <f t="shared" si="1"/>
        <v>7.7</v>
      </c>
      <c r="N510" s="181"/>
      <c r="O510" s="181"/>
      <c r="P510" s="181"/>
    </row>
    <row r="511" spans="1:16">
      <c r="A511" s="92">
        <f>3</f>
        <v>3</v>
      </c>
      <c r="B511" s="169"/>
      <c r="C511" s="188" t="s">
        <v>77</v>
      </c>
      <c r="D511" s="190">
        <f>2.62</f>
        <v>2.62</v>
      </c>
      <c r="E511" s="191">
        <f>1.65</f>
        <v>1.65</v>
      </c>
      <c r="F511" s="88">
        <v>4.3229999999999995</v>
      </c>
      <c r="G511" s="88"/>
      <c r="H511" s="192">
        <v>11.84</v>
      </c>
      <c r="I511" s="192">
        <v>12.968999999999998</v>
      </c>
      <c r="J511" s="181"/>
      <c r="K511" s="181"/>
      <c r="L511" s="192">
        <f t="shared" si="0"/>
        <v>27.659999999999997</v>
      </c>
      <c r="M511" s="192">
        <f t="shared" si="1"/>
        <v>7.86</v>
      </c>
      <c r="N511" s="181"/>
      <c r="O511" s="181"/>
      <c r="P511" s="181"/>
    </row>
    <row r="512" spans="1:16">
      <c r="A512" s="92">
        <f>1</f>
        <v>1</v>
      </c>
      <c r="B512" s="169"/>
      <c r="C512" s="188" t="s">
        <v>78</v>
      </c>
      <c r="D512" s="190">
        <f>0.92</f>
        <v>0.92</v>
      </c>
      <c r="E512" s="191">
        <f>1.87</f>
        <v>1.87</v>
      </c>
      <c r="F512" s="88">
        <v>1.7204000000000002</v>
      </c>
      <c r="G512" s="88"/>
      <c r="H512" s="192">
        <v>6.5</v>
      </c>
      <c r="I512" s="192">
        <v>1.7204000000000002</v>
      </c>
      <c r="J512" s="181"/>
      <c r="K512" s="181"/>
      <c r="L512" s="192">
        <f t="shared" si="0"/>
        <v>5.58</v>
      </c>
      <c r="M512" s="192">
        <f t="shared" si="1"/>
        <v>0.92</v>
      </c>
      <c r="N512" s="181"/>
      <c r="O512" s="181"/>
      <c r="P512" s="181"/>
    </row>
    <row r="513" spans="1:16">
      <c r="A513" s="92">
        <f>2</f>
        <v>2</v>
      </c>
      <c r="B513" s="169"/>
      <c r="C513" s="188" t="s">
        <v>79</v>
      </c>
      <c r="D513" s="190">
        <f>1.85</f>
        <v>1.85</v>
      </c>
      <c r="E513" s="191">
        <f>1.57</f>
        <v>1.57</v>
      </c>
      <c r="F513" s="88">
        <v>1.8592500000000001</v>
      </c>
      <c r="G513" s="88"/>
      <c r="H513" s="192">
        <v>8.3450000000000006</v>
      </c>
      <c r="I513" s="192">
        <v>3.7185000000000001</v>
      </c>
      <c r="J513" s="181"/>
      <c r="K513" s="181"/>
      <c r="L513" s="192">
        <f t="shared" si="0"/>
        <v>12.990000000000002</v>
      </c>
      <c r="M513" s="192">
        <f t="shared" si="1"/>
        <v>3.7</v>
      </c>
      <c r="N513" s="181"/>
      <c r="O513" s="181"/>
      <c r="P513" s="181"/>
    </row>
    <row r="514" spans="1:16">
      <c r="A514" s="93">
        <f>3</f>
        <v>3</v>
      </c>
      <c r="B514" s="169"/>
      <c r="C514" s="188" t="s">
        <v>80</v>
      </c>
      <c r="D514" s="190">
        <f>0.97</f>
        <v>0.97</v>
      </c>
      <c r="E514" s="191">
        <f>1.77</f>
        <v>1.77</v>
      </c>
      <c r="F514" s="88">
        <v>1.7168999999999999</v>
      </c>
      <c r="G514" s="88"/>
      <c r="H514" s="192">
        <v>5.48</v>
      </c>
      <c r="I514" s="192">
        <v>5.1506999999999996</v>
      </c>
      <c r="J514" s="181"/>
      <c r="K514" s="181"/>
      <c r="L514" s="192">
        <f t="shared" si="0"/>
        <v>13.530000000000001</v>
      </c>
      <c r="M514" s="192">
        <f t="shared" si="1"/>
        <v>2.91</v>
      </c>
      <c r="N514" s="181"/>
      <c r="O514" s="181"/>
      <c r="P514" s="181"/>
    </row>
    <row r="515" spans="1:16">
      <c r="A515" s="93">
        <f>3</f>
        <v>3</v>
      </c>
      <c r="C515" s="188" t="s">
        <v>68</v>
      </c>
      <c r="D515" s="190">
        <f>1.17</f>
        <v>1.17</v>
      </c>
      <c r="E515" s="191">
        <f>1.77</f>
        <v>1.77</v>
      </c>
      <c r="F515" s="88">
        <v>2.0709</v>
      </c>
      <c r="G515" s="88"/>
      <c r="H515" s="192">
        <v>5.88</v>
      </c>
      <c r="I515" s="192">
        <v>6.2126999999999999</v>
      </c>
      <c r="J515" s="181"/>
      <c r="K515" s="181"/>
      <c r="L515" s="192">
        <f t="shared" si="0"/>
        <v>14.129999999999999</v>
      </c>
      <c r="M515" s="192">
        <f t="shared" si="1"/>
        <v>3.51</v>
      </c>
      <c r="N515" s="181"/>
      <c r="O515" s="181"/>
      <c r="P515" s="181"/>
    </row>
    <row r="516" spans="1:16">
      <c r="A516" s="29"/>
      <c r="D516" s="29"/>
      <c r="E516" s="29"/>
      <c r="H516" s="29"/>
      <c r="I516" s="29"/>
      <c r="O516" s="181"/>
      <c r="P516" s="181"/>
    </row>
    <row r="517" spans="1:16">
      <c r="A517" s="83">
        <f>A497+A501+A504+A509</f>
        <v>25</v>
      </c>
      <c r="C517" s="188"/>
      <c r="D517" s="190"/>
      <c r="E517" s="191"/>
      <c r="F517" s="88"/>
      <c r="G517" s="88"/>
      <c r="H517" s="192">
        <v>1.135</v>
      </c>
      <c r="I517" s="192"/>
      <c r="J517" s="181"/>
      <c r="K517" s="181"/>
      <c r="L517" s="192"/>
      <c r="M517" s="192"/>
      <c r="N517" s="181"/>
      <c r="O517" s="181"/>
      <c r="P517" s="181"/>
    </row>
    <row r="518" spans="1:16">
      <c r="A518" s="28">
        <f>A498+A505</f>
        <v>21</v>
      </c>
      <c r="C518" s="188"/>
      <c r="D518" s="190"/>
      <c r="E518" s="191"/>
      <c r="F518" s="88"/>
      <c r="G518" s="88"/>
      <c r="H518" s="192"/>
      <c r="I518" s="192"/>
      <c r="J518" s="181"/>
      <c r="K518" s="181"/>
      <c r="L518" s="192"/>
      <c r="M518" s="192"/>
      <c r="N518" s="181"/>
      <c r="O518" s="181"/>
      <c r="P518" s="181"/>
    </row>
    <row r="519" spans="1:16">
      <c r="A519" s="183">
        <f>SUM(A520:A533)</f>
        <v>13</v>
      </c>
      <c r="C519" s="79" t="s">
        <v>81</v>
      </c>
      <c r="D519" s="190"/>
      <c r="E519" s="191"/>
      <c r="F519" s="88"/>
      <c r="G519" s="88"/>
      <c r="H519" s="192"/>
      <c r="I519" s="187">
        <v>123.65119999999999</v>
      </c>
      <c r="J519" s="181"/>
      <c r="K519" s="181"/>
      <c r="L519" s="187">
        <f>SUM(L520:L533)</f>
        <v>333.67</v>
      </c>
      <c r="M519" s="187">
        <f>SUM(M520:M533)</f>
        <v>25.910000000000004</v>
      </c>
      <c r="N519" s="181"/>
      <c r="O519" s="181"/>
      <c r="P519" s="181"/>
    </row>
    <row r="520" spans="1:16">
      <c r="A520" s="83"/>
      <c r="C520" s="79"/>
      <c r="D520" s="190"/>
      <c r="E520" s="191"/>
      <c r="F520" s="88"/>
      <c r="G520" s="88"/>
      <c r="H520" s="192"/>
      <c r="I520" s="187"/>
      <c r="J520" s="181"/>
      <c r="K520" s="181"/>
      <c r="L520" s="187"/>
      <c r="M520" s="187"/>
      <c r="N520" s="181"/>
      <c r="O520" s="181"/>
      <c r="P520" s="181"/>
    </row>
    <row r="521" spans="1:16">
      <c r="A521" s="83">
        <f>1</f>
        <v>1</v>
      </c>
      <c r="C521" s="188" t="s">
        <v>82</v>
      </c>
      <c r="D521" s="190">
        <f>2.53</f>
        <v>2.5299999999999998</v>
      </c>
      <c r="E521" s="191">
        <f>2.92</f>
        <v>2.92</v>
      </c>
      <c r="F521" s="88">
        <v>7.3875999999999991</v>
      </c>
      <c r="G521" s="88"/>
      <c r="H521" s="192">
        <v>21.41</v>
      </c>
      <c r="I521" s="192">
        <v>7.3875999999999991</v>
      </c>
      <c r="J521" s="181"/>
      <c r="K521" s="181"/>
      <c r="L521" s="192">
        <f t="shared" ref="L521:L532" si="3">A521*(H521-D521)</f>
        <v>18.88</v>
      </c>
      <c r="M521" s="192">
        <f t="shared" ref="M521:M532" si="4">A521*D521</f>
        <v>2.5299999999999998</v>
      </c>
      <c r="N521" s="181"/>
      <c r="O521" s="181"/>
      <c r="P521" s="181"/>
    </row>
    <row r="522" spans="1:16">
      <c r="A522" s="83">
        <f>1</f>
        <v>1</v>
      </c>
      <c r="C522" s="188" t="s">
        <v>83</v>
      </c>
      <c r="D522" s="190">
        <f>3.47</f>
        <v>3.47</v>
      </c>
      <c r="E522" s="191">
        <f>2.92</f>
        <v>2.92</v>
      </c>
      <c r="F522" s="88">
        <v>10.132400000000001</v>
      </c>
      <c r="G522" s="88"/>
      <c r="H522" s="192">
        <v>29.03</v>
      </c>
      <c r="I522" s="192">
        <v>10.132400000000001</v>
      </c>
      <c r="J522" s="181"/>
      <c r="K522" s="181"/>
      <c r="L522" s="192">
        <f t="shared" si="3"/>
        <v>25.560000000000002</v>
      </c>
      <c r="M522" s="192">
        <f t="shared" si="4"/>
        <v>3.47</v>
      </c>
      <c r="N522" s="181"/>
      <c r="O522" s="181"/>
      <c r="P522" s="181"/>
    </row>
    <row r="523" spans="1:16">
      <c r="A523" s="83">
        <f>1</f>
        <v>1</v>
      </c>
      <c r="B523" s="194"/>
      <c r="C523" s="188" t="s">
        <v>84</v>
      </c>
      <c r="D523" s="190">
        <f>1.12</f>
        <v>1.1200000000000001</v>
      </c>
      <c r="E523" s="191">
        <f>6.5</f>
        <v>6.5</v>
      </c>
      <c r="F523" s="88">
        <v>7.28</v>
      </c>
      <c r="G523" s="88"/>
      <c r="H523" s="192">
        <v>20.84</v>
      </c>
      <c r="I523" s="192">
        <v>7.28</v>
      </c>
      <c r="J523" s="181"/>
      <c r="K523" s="181"/>
      <c r="L523" s="192">
        <f t="shared" si="3"/>
        <v>19.72</v>
      </c>
      <c r="M523" s="192">
        <f t="shared" si="4"/>
        <v>1.1200000000000001</v>
      </c>
      <c r="N523" s="181"/>
      <c r="O523" s="181"/>
      <c r="P523" s="181"/>
    </row>
    <row r="524" spans="1:16">
      <c r="A524" s="83">
        <f>1</f>
        <v>1</v>
      </c>
      <c r="B524" s="167"/>
      <c r="C524" s="188" t="s">
        <v>85</v>
      </c>
      <c r="D524" s="190">
        <f>1.23</f>
        <v>1.23</v>
      </c>
      <c r="E524" s="191">
        <f>6.5</f>
        <v>6.5</v>
      </c>
      <c r="F524" s="88">
        <v>7.9950000000000001</v>
      </c>
      <c r="G524" s="88"/>
      <c r="H524" s="192">
        <v>22.84</v>
      </c>
      <c r="I524" s="192">
        <v>7.9950000000000001</v>
      </c>
      <c r="J524" s="181"/>
      <c r="K524" s="181"/>
      <c r="L524" s="192">
        <f t="shared" si="3"/>
        <v>21.61</v>
      </c>
      <c r="M524" s="192">
        <f t="shared" si="4"/>
        <v>1.23</v>
      </c>
      <c r="N524" s="181"/>
      <c r="O524" s="181"/>
      <c r="P524" s="181"/>
    </row>
    <row r="525" spans="1:16">
      <c r="A525" s="83">
        <f>1+1</f>
        <v>2</v>
      </c>
      <c r="C525" s="188" t="s">
        <v>86</v>
      </c>
      <c r="D525" s="190">
        <f>3.02</f>
        <v>3.02</v>
      </c>
      <c r="E525" s="191">
        <f>2.92</f>
        <v>2.92</v>
      </c>
      <c r="F525" s="88">
        <v>8.8184000000000005</v>
      </c>
      <c r="G525" s="88"/>
      <c r="H525" s="192">
        <v>26.78</v>
      </c>
      <c r="I525" s="192">
        <v>17.636800000000001</v>
      </c>
      <c r="J525" s="181"/>
      <c r="K525" s="181"/>
      <c r="L525" s="192">
        <f t="shared" si="3"/>
        <v>47.52</v>
      </c>
      <c r="M525" s="192">
        <f t="shared" si="4"/>
        <v>6.04</v>
      </c>
      <c r="N525" s="181"/>
      <c r="O525" s="181"/>
      <c r="P525" s="181"/>
    </row>
    <row r="526" spans="1:16">
      <c r="A526" s="83">
        <f>1</f>
        <v>1</v>
      </c>
      <c r="C526" s="188" t="s">
        <v>87</v>
      </c>
      <c r="D526" s="190">
        <f>2.3</f>
        <v>2.2999999999999998</v>
      </c>
      <c r="E526" s="191">
        <f>6.5</f>
        <v>6.5</v>
      </c>
      <c r="F526" s="88">
        <v>14.95</v>
      </c>
      <c r="G526" s="88"/>
      <c r="H526" s="192">
        <v>46.7</v>
      </c>
      <c r="I526" s="192">
        <v>14.95</v>
      </c>
      <c r="J526" s="181"/>
      <c r="K526" s="181"/>
      <c r="L526" s="192">
        <f t="shared" si="3"/>
        <v>44.400000000000006</v>
      </c>
      <c r="M526" s="192">
        <f t="shared" si="4"/>
        <v>2.2999999999999998</v>
      </c>
      <c r="N526" s="181"/>
      <c r="O526" s="181"/>
      <c r="P526" s="181"/>
    </row>
    <row r="527" spans="1:16">
      <c r="A527" s="83">
        <f>1</f>
        <v>1</v>
      </c>
      <c r="C527" s="188" t="s">
        <v>88</v>
      </c>
      <c r="D527" s="190">
        <f>0.97</f>
        <v>0.97</v>
      </c>
      <c r="E527" s="191">
        <f>3.37</f>
        <v>3.37</v>
      </c>
      <c r="F527" s="88">
        <v>3.2688999999999999</v>
      </c>
      <c r="G527" s="88"/>
      <c r="H527" s="192">
        <v>11.59</v>
      </c>
      <c r="I527" s="192">
        <v>3.2688999999999999</v>
      </c>
      <c r="J527" s="181"/>
      <c r="K527" s="181"/>
      <c r="L527" s="192">
        <f t="shared" si="3"/>
        <v>10.62</v>
      </c>
      <c r="M527" s="192">
        <f t="shared" si="4"/>
        <v>0.97</v>
      </c>
      <c r="N527" s="181"/>
      <c r="O527" s="181"/>
      <c r="P527" s="181"/>
    </row>
    <row r="528" spans="1:16">
      <c r="A528" s="83">
        <f>1</f>
        <v>1</v>
      </c>
      <c r="C528" s="188" t="s">
        <v>89</v>
      </c>
      <c r="D528" s="190">
        <f>1.1</f>
        <v>1.1000000000000001</v>
      </c>
      <c r="E528" s="191">
        <f>5.6</f>
        <v>5.6</v>
      </c>
      <c r="F528" s="88">
        <v>6.16</v>
      </c>
      <c r="G528" s="88"/>
      <c r="H528" s="192">
        <v>18.899999999999999</v>
      </c>
      <c r="I528" s="192">
        <v>6.16</v>
      </c>
      <c r="J528" s="181"/>
      <c r="K528" s="181"/>
      <c r="L528" s="192">
        <f t="shared" si="3"/>
        <v>17.799999999999997</v>
      </c>
      <c r="M528" s="192">
        <f t="shared" si="4"/>
        <v>1.1000000000000001</v>
      </c>
      <c r="N528" s="181"/>
      <c r="O528" s="181"/>
      <c r="P528" s="181"/>
    </row>
    <row r="529" spans="1:16">
      <c r="A529" s="83">
        <f>1</f>
        <v>1</v>
      </c>
      <c r="C529" s="188" t="s">
        <v>90</v>
      </c>
      <c r="D529" s="190">
        <f>2.3</f>
        <v>2.2999999999999998</v>
      </c>
      <c r="E529" s="191">
        <f>6.5</f>
        <v>6.5</v>
      </c>
      <c r="F529" s="88">
        <v>14.95</v>
      </c>
      <c r="G529" s="88"/>
      <c r="H529" s="192">
        <v>46.7</v>
      </c>
      <c r="I529" s="192">
        <v>14.95</v>
      </c>
      <c r="J529" s="181"/>
      <c r="K529" s="181"/>
      <c r="L529" s="192">
        <f t="shared" si="3"/>
        <v>44.400000000000006</v>
      </c>
      <c r="M529" s="192">
        <f t="shared" si="4"/>
        <v>2.2999999999999998</v>
      </c>
      <c r="N529" s="181"/>
      <c r="O529" s="181"/>
      <c r="P529" s="181"/>
    </row>
    <row r="530" spans="1:16">
      <c r="A530" s="83">
        <f>1</f>
        <v>1</v>
      </c>
      <c r="C530" s="188" t="s">
        <v>91</v>
      </c>
      <c r="D530" s="190">
        <f>0.7</f>
        <v>0.7</v>
      </c>
      <c r="E530" s="191">
        <f>6.1</f>
        <v>6.1</v>
      </c>
      <c r="F530" s="88">
        <v>4.2699999999999996</v>
      </c>
      <c r="G530" s="88"/>
      <c r="H530" s="192">
        <v>17.100000000000001</v>
      </c>
      <c r="I530" s="192">
        <v>4.2699999999999996</v>
      </c>
      <c r="J530" s="181"/>
      <c r="K530" s="181"/>
      <c r="L530" s="192">
        <f t="shared" si="3"/>
        <v>16.400000000000002</v>
      </c>
      <c r="M530" s="192">
        <f t="shared" si="4"/>
        <v>0.7</v>
      </c>
      <c r="N530" s="181"/>
      <c r="O530" s="181"/>
      <c r="P530" s="181"/>
    </row>
    <row r="531" spans="1:16">
      <c r="A531" s="83">
        <f>1</f>
        <v>1</v>
      </c>
      <c r="C531" s="188" t="s">
        <v>92</v>
      </c>
      <c r="D531" s="190">
        <f>3.05</f>
        <v>3.05</v>
      </c>
      <c r="E531" s="191">
        <f>7.05</f>
        <v>7.05</v>
      </c>
      <c r="F531" s="88">
        <v>21.502500000000001</v>
      </c>
      <c r="G531" s="88"/>
      <c r="H531" s="192">
        <v>49.55</v>
      </c>
      <c r="I531" s="192">
        <v>21.502500000000001</v>
      </c>
      <c r="J531" s="181"/>
      <c r="K531" s="181"/>
      <c r="L531" s="192">
        <f t="shared" si="3"/>
        <v>46.5</v>
      </c>
      <c r="M531" s="192">
        <f t="shared" si="4"/>
        <v>3.05</v>
      </c>
      <c r="N531" s="181"/>
      <c r="O531" s="181"/>
      <c r="P531" s="181"/>
    </row>
    <row r="532" spans="1:16">
      <c r="A532" s="83">
        <f>1</f>
        <v>1</v>
      </c>
      <c r="C532" s="188" t="s">
        <v>93</v>
      </c>
      <c r="D532" s="190">
        <f>1.1</f>
        <v>1.1000000000000001</v>
      </c>
      <c r="E532" s="191">
        <f>7.38</f>
        <v>7.38</v>
      </c>
      <c r="F532" s="88">
        <v>8.1180000000000003</v>
      </c>
      <c r="G532" s="88"/>
      <c r="H532" s="192">
        <v>21.36</v>
      </c>
      <c r="I532" s="192">
        <v>8.1180000000000003</v>
      </c>
      <c r="J532" s="181"/>
      <c r="K532" s="181"/>
      <c r="L532" s="192">
        <f t="shared" si="3"/>
        <v>20.259999999999998</v>
      </c>
      <c r="M532" s="192">
        <f t="shared" si="4"/>
        <v>1.1000000000000001</v>
      </c>
      <c r="N532" s="181"/>
      <c r="O532" s="181"/>
      <c r="P532" s="181"/>
    </row>
    <row r="533" spans="1:16">
      <c r="A533" s="195"/>
      <c r="C533" s="188"/>
      <c r="D533" s="190"/>
      <c r="E533" s="191"/>
      <c r="F533" s="88"/>
      <c r="G533" s="88"/>
      <c r="H533" s="192"/>
      <c r="I533" s="192"/>
      <c r="J533" s="181"/>
      <c r="K533" s="181"/>
      <c r="L533" s="192"/>
      <c r="M533" s="192"/>
      <c r="N533" s="181"/>
      <c r="O533" s="181"/>
      <c r="P533" s="181"/>
    </row>
    <row r="534" spans="1:16">
      <c r="A534" s="195"/>
      <c r="C534" s="188"/>
      <c r="D534" s="190"/>
      <c r="E534" s="191"/>
      <c r="F534" s="88"/>
      <c r="G534" s="88"/>
      <c r="H534" s="192"/>
      <c r="I534" s="192"/>
      <c r="J534" s="181"/>
      <c r="K534" s="181"/>
      <c r="L534" s="192"/>
      <c r="M534" s="192"/>
      <c r="N534" s="181"/>
      <c r="O534" s="181"/>
      <c r="P534" s="181"/>
    </row>
    <row r="535" spans="1:16">
      <c r="A535" s="183">
        <f>SUM(A536:A545)</f>
        <v>9</v>
      </c>
      <c r="C535" s="79" t="s">
        <v>94</v>
      </c>
      <c r="D535" s="190"/>
      <c r="E535" s="191"/>
      <c r="F535" s="88"/>
      <c r="G535" s="88"/>
      <c r="H535" s="192"/>
      <c r="I535" s="187">
        <v>29.242800000000003</v>
      </c>
      <c r="L535" s="187">
        <f>SUM(L537:L549)</f>
        <v>225.68</v>
      </c>
      <c r="M535" s="187">
        <f>SUM(M537:M549)</f>
        <v>48.45</v>
      </c>
      <c r="N535" s="181"/>
      <c r="O535" s="181"/>
      <c r="P535" s="181"/>
    </row>
    <row r="536" spans="1:16">
      <c r="A536" s="195"/>
      <c r="C536" s="79"/>
      <c r="D536" s="190"/>
      <c r="E536" s="191"/>
      <c r="F536" s="88"/>
      <c r="G536" s="88"/>
      <c r="H536" s="192"/>
      <c r="I536" s="187"/>
      <c r="L536" s="187"/>
      <c r="M536" s="187"/>
      <c r="N536" s="181"/>
      <c r="O536" s="181"/>
      <c r="P536" s="181"/>
    </row>
    <row r="537" spans="1:16">
      <c r="A537" s="95">
        <f>1</f>
        <v>1</v>
      </c>
      <c r="C537" s="96" t="s">
        <v>95</v>
      </c>
      <c r="D537" s="191">
        <f>1.57</f>
        <v>1.57</v>
      </c>
      <c r="E537" s="190">
        <f>2.57</f>
        <v>2.57</v>
      </c>
      <c r="F537" s="88">
        <v>4.0348999999999995</v>
      </c>
      <c r="G537" s="88"/>
      <c r="H537" s="192">
        <v>12.42</v>
      </c>
      <c r="I537" s="192">
        <v>4.0348999999999995</v>
      </c>
      <c r="L537" s="192">
        <f t="shared" ref="L537:L544" si="5">A537*(H537-E537)</f>
        <v>9.85</v>
      </c>
      <c r="M537" s="192">
        <f t="shared" ref="M537:M544" si="6">A537*E537</f>
        <v>2.57</v>
      </c>
      <c r="N537" s="181"/>
      <c r="O537" s="181"/>
      <c r="P537" s="181"/>
    </row>
    <row r="538" spans="1:16">
      <c r="A538" s="95">
        <f>1</f>
        <v>1</v>
      </c>
      <c r="C538" s="96" t="s">
        <v>96</v>
      </c>
      <c r="D538" s="191">
        <f>0.98</f>
        <v>0.98</v>
      </c>
      <c r="E538" s="190">
        <f>2.57</f>
        <v>2.57</v>
      </c>
      <c r="F538" s="88">
        <v>2.5185999999999997</v>
      </c>
      <c r="G538" s="88"/>
      <c r="H538" s="192">
        <v>8.08</v>
      </c>
      <c r="I538" s="192">
        <v>2.5185999999999997</v>
      </c>
      <c r="L538" s="192">
        <f t="shared" si="5"/>
        <v>5.51</v>
      </c>
      <c r="M538" s="192">
        <f t="shared" si="6"/>
        <v>2.57</v>
      </c>
      <c r="N538" s="181"/>
      <c r="O538" s="181"/>
      <c r="P538" s="181"/>
    </row>
    <row r="539" spans="1:16">
      <c r="A539" s="95">
        <f>1</f>
        <v>1</v>
      </c>
      <c r="C539" s="96" t="s">
        <v>97</v>
      </c>
      <c r="D539" s="191">
        <f>1.77</f>
        <v>1.77</v>
      </c>
      <c r="E539" s="190">
        <f>2.57</f>
        <v>2.57</v>
      </c>
      <c r="F539" s="88">
        <v>4.5488999999999997</v>
      </c>
      <c r="G539" s="88"/>
      <c r="H539" s="192">
        <v>10.45</v>
      </c>
      <c r="I539" s="192">
        <v>4.5488999999999997</v>
      </c>
      <c r="J539" s="181"/>
      <c r="K539" s="181"/>
      <c r="L539" s="192">
        <f t="shared" si="5"/>
        <v>7.879999999999999</v>
      </c>
      <c r="M539" s="192">
        <f t="shared" si="6"/>
        <v>2.57</v>
      </c>
      <c r="N539" s="181"/>
      <c r="O539" s="181"/>
      <c r="P539" s="181"/>
    </row>
    <row r="540" spans="1:16">
      <c r="A540" s="95">
        <f>1</f>
        <v>1</v>
      </c>
      <c r="C540" s="96" t="s">
        <v>98</v>
      </c>
      <c r="D540" s="191">
        <f>1.37</f>
        <v>1.37</v>
      </c>
      <c r="E540" s="190">
        <f>2.07</f>
        <v>2.0699999999999998</v>
      </c>
      <c r="F540" s="88">
        <v>2.8359000000000001</v>
      </c>
      <c r="G540" s="88"/>
      <c r="H540" s="192">
        <v>10.32</v>
      </c>
      <c r="I540" s="192">
        <v>2.8359000000000001</v>
      </c>
      <c r="J540" s="181"/>
      <c r="K540" s="181"/>
      <c r="L540" s="192">
        <f t="shared" si="5"/>
        <v>8.25</v>
      </c>
      <c r="M540" s="192">
        <f t="shared" si="6"/>
        <v>2.0699999999999998</v>
      </c>
      <c r="N540" s="181"/>
      <c r="O540" s="181"/>
      <c r="P540" s="181"/>
    </row>
    <row r="541" spans="1:16">
      <c r="A541" s="95">
        <f>1+1</f>
        <v>2</v>
      </c>
      <c r="C541" s="96" t="s">
        <v>99</v>
      </c>
      <c r="D541" s="191">
        <f>0.97</f>
        <v>0.97</v>
      </c>
      <c r="E541" s="190">
        <f>2.07</f>
        <v>2.0699999999999998</v>
      </c>
      <c r="F541" s="88">
        <v>2.0078999999999998</v>
      </c>
      <c r="G541" s="88"/>
      <c r="H541" s="192">
        <v>6.08</v>
      </c>
      <c r="I541" s="192">
        <v>4.0157999999999996</v>
      </c>
      <c r="J541" s="181"/>
      <c r="K541" s="181"/>
      <c r="L541" s="192">
        <f t="shared" si="5"/>
        <v>8.02</v>
      </c>
      <c r="M541" s="192">
        <f t="shared" si="6"/>
        <v>4.1399999999999997</v>
      </c>
      <c r="N541" s="181"/>
      <c r="O541" s="181"/>
      <c r="P541" s="181"/>
    </row>
    <row r="542" spans="1:16">
      <c r="A542" s="95">
        <f>1</f>
        <v>1</v>
      </c>
      <c r="C542" s="96" t="s">
        <v>100</v>
      </c>
      <c r="D542" s="191">
        <f>1.77</f>
        <v>1.77</v>
      </c>
      <c r="E542" s="190">
        <f>2.07</f>
        <v>2.0699999999999998</v>
      </c>
      <c r="F542" s="88">
        <v>3.6638999999999999</v>
      </c>
      <c r="G542" s="88"/>
      <c r="H542" s="192">
        <v>7.68</v>
      </c>
      <c r="I542" s="192">
        <v>3.6638999999999999</v>
      </c>
      <c r="J542" s="181"/>
      <c r="K542" s="181"/>
      <c r="L542" s="192">
        <f t="shared" si="5"/>
        <v>5.6099999999999994</v>
      </c>
      <c r="M542" s="192">
        <f t="shared" si="6"/>
        <v>2.0699999999999998</v>
      </c>
      <c r="N542" s="181"/>
      <c r="O542" s="181"/>
      <c r="P542" s="181"/>
    </row>
    <row r="543" spans="1:16">
      <c r="A543" s="95">
        <f>1</f>
        <v>1</v>
      </c>
      <c r="C543" s="96" t="s">
        <v>101</v>
      </c>
      <c r="D543" s="191">
        <f>0.97</f>
        <v>0.97</v>
      </c>
      <c r="E543" s="190">
        <f>2.07</f>
        <v>2.0699999999999998</v>
      </c>
      <c r="F543" s="88">
        <v>2.0078999999999998</v>
      </c>
      <c r="G543" s="88"/>
      <c r="H543" s="192">
        <v>7.05</v>
      </c>
      <c r="I543" s="192">
        <v>2.0078999999999998</v>
      </c>
      <c r="L543" s="192">
        <f t="shared" si="5"/>
        <v>4.9800000000000004</v>
      </c>
      <c r="M543" s="192">
        <f t="shared" si="6"/>
        <v>2.0699999999999998</v>
      </c>
      <c r="N543" s="181"/>
      <c r="O543" s="181"/>
      <c r="P543" s="181"/>
    </row>
    <row r="544" spans="1:16">
      <c r="A544" s="95">
        <f>1</f>
        <v>1</v>
      </c>
      <c r="C544" s="96" t="s">
        <v>102</v>
      </c>
      <c r="D544" s="191">
        <f>2.37</f>
        <v>2.37</v>
      </c>
      <c r="E544" s="191">
        <f>2.37</f>
        <v>2.37</v>
      </c>
      <c r="F544" s="88">
        <v>5.6169000000000002</v>
      </c>
      <c r="G544" s="88"/>
      <c r="H544" s="192">
        <v>9.48</v>
      </c>
      <c r="I544" s="192">
        <v>5.6169000000000002</v>
      </c>
      <c r="J544" s="181"/>
      <c r="K544" s="181"/>
      <c r="L544" s="192">
        <f t="shared" si="5"/>
        <v>7.11</v>
      </c>
      <c r="M544" s="192">
        <f t="shared" si="6"/>
        <v>2.37</v>
      </c>
      <c r="N544" s="181"/>
      <c r="O544" s="181"/>
      <c r="P544" s="181"/>
    </row>
    <row r="545" spans="1:16">
      <c r="A545" s="95"/>
      <c r="B545" s="175"/>
      <c r="C545" s="96"/>
      <c r="D545" s="191"/>
      <c r="E545" s="190"/>
      <c r="F545" s="88"/>
      <c r="G545" s="88"/>
      <c r="H545" s="192"/>
      <c r="I545" s="192"/>
      <c r="J545" s="181"/>
      <c r="K545" s="181"/>
      <c r="L545" s="192"/>
      <c r="M545" s="192"/>
      <c r="N545" s="181"/>
      <c r="O545" s="181"/>
      <c r="P545" s="181"/>
    </row>
    <row r="546" spans="1:16">
      <c r="A546" s="95"/>
      <c r="C546" s="96"/>
      <c r="D546" s="191"/>
      <c r="E546" s="190"/>
      <c r="F546" s="88"/>
      <c r="G546" s="88"/>
      <c r="H546" s="192"/>
      <c r="I546" s="192"/>
      <c r="J546" s="181"/>
      <c r="K546" s="181"/>
      <c r="L546" s="192"/>
      <c r="M546" s="192"/>
      <c r="N546" s="181"/>
      <c r="O546" s="181"/>
      <c r="P546" s="181"/>
    </row>
    <row r="547" spans="1:16">
      <c r="A547" s="183">
        <f>SUM(A548:A556)</f>
        <v>12</v>
      </c>
      <c r="C547" s="97" t="s">
        <v>103</v>
      </c>
      <c r="D547" s="190"/>
      <c r="E547" s="191"/>
      <c r="F547" s="88"/>
      <c r="G547" s="88"/>
      <c r="H547" s="192"/>
      <c r="I547" s="187">
        <v>61.446000000000005</v>
      </c>
      <c r="J547" s="181"/>
      <c r="K547" s="181"/>
      <c r="L547" s="187">
        <f>SUM(L548:L561)</f>
        <v>148.47999999999999</v>
      </c>
      <c r="M547" s="187">
        <f>SUM(M548:M561)</f>
        <v>25.25</v>
      </c>
      <c r="N547" s="181"/>
      <c r="O547" s="181"/>
      <c r="P547" s="181"/>
    </row>
    <row r="548" spans="1:16">
      <c r="A548" s="83"/>
      <c r="C548" s="79"/>
      <c r="D548" s="190"/>
      <c r="E548" s="191"/>
      <c r="F548" s="88"/>
      <c r="G548" s="88"/>
      <c r="H548" s="192"/>
      <c r="I548" s="187"/>
      <c r="J548" s="181"/>
      <c r="K548" s="181"/>
      <c r="L548" s="187"/>
      <c r="M548" s="187"/>
      <c r="N548" s="181"/>
      <c r="O548" s="181"/>
      <c r="P548" s="181"/>
    </row>
    <row r="549" spans="1:16">
      <c r="A549" s="83">
        <f>1</f>
        <v>1</v>
      </c>
      <c r="C549" s="188" t="s">
        <v>104</v>
      </c>
      <c r="D549" s="190">
        <f>2.77</f>
        <v>2.77</v>
      </c>
      <c r="E549" s="191">
        <f>2.92</f>
        <v>2.92</v>
      </c>
      <c r="F549" s="88">
        <v>8.0884</v>
      </c>
      <c r="G549" s="88"/>
      <c r="H549" s="192">
        <v>22.76</v>
      </c>
      <c r="I549" s="192">
        <v>8.0884</v>
      </c>
      <c r="J549" s="181"/>
      <c r="K549" s="181"/>
      <c r="L549" s="192">
        <f t="shared" ref="L549:L555" si="7">A549*(H549-D549)</f>
        <v>19.990000000000002</v>
      </c>
      <c r="M549" s="192">
        <f t="shared" ref="M549:M555" si="8">A549*D549</f>
        <v>2.77</v>
      </c>
      <c r="N549" s="181"/>
      <c r="O549" s="181"/>
      <c r="P549" s="181"/>
    </row>
    <row r="550" spans="1:16">
      <c r="A550" s="83">
        <f>1</f>
        <v>1</v>
      </c>
      <c r="C550" s="188" t="s">
        <v>105</v>
      </c>
      <c r="D550" s="190">
        <f>2.965</f>
        <v>2.9649999999999999</v>
      </c>
      <c r="E550" s="191">
        <f>2.67</f>
        <v>2.67</v>
      </c>
      <c r="F550" s="88">
        <v>7.9165499999999991</v>
      </c>
      <c r="G550" s="88"/>
      <c r="H550" s="192">
        <v>22.54</v>
      </c>
      <c r="I550" s="192">
        <v>7.9165499999999991</v>
      </c>
      <c r="J550" s="181"/>
      <c r="K550" s="181"/>
      <c r="L550" s="192">
        <f t="shared" si="7"/>
        <v>19.574999999999999</v>
      </c>
      <c r="M550" s="192">
        <f t="shared" si="8"/>
        <v>2.9649999999999999</v>
      </c>
      <c r="N550" s="181"/>
      <c r="O550" s="181"/>
    </row>
    <row r="551" spans="1:16">
      <c r="A551" s="83">
        <f>1</f>
        <v>1</v>
      </c>
      <c r="C551" s="188" t="s">
        <v>106</v>
      </c>
      <c r="D551" s="190">
        <f>2.855</f>
        <v>2.855</v>
      </c>
      <c r="E551" s="191">
        <f>2.67</f>
        <v>2.67</v>
      </c>
      <c r="F551" s="88">
        <v>7.6228499999999997</v>
      </c>
      <c r="G551" s="88"/>
      <c r="H551" s="192">
        <v>19.43</v>
      </c>
      <c r="I551" s="192">
        <v>7.6228499999999997</v>
      </c>
      <c r="J551" s="181"/>
      <c r="K551" s="181"/>
      <c r="L551" s="192">
        <f t="shared" si="7"/>
        <v>16.574999999999999</v>
      </c>
      <c r="M551" s="192">
        <f t="shared" si="8"/>
        <v>2.855</v>
      </c>
      <c r="N551" s="181"/>
      <c r="O551" s="181"/>
    </row>
    <row r="552" spans="1:16">
      <c r="A552" s="83">
        <f>3</f>
        <v>3</v>
      </c>
      <c r="C552" s="188" t="s">
        <v>107</v>
      </c>
      <c r="D552" s="190">
        <f>2.1</f>
        <v>2.1</v>
      </c>
      <c r="E552" s="191">
        <f>2.27</f>
        <v>2.27</v>
      </c>
      <c r="F552" s="88">
        <v>4.7670000000000003</v>
      </c>
      <c r="G552" s="88"/>
      <c r="H552" s="192">
        <v>13.11</v>
      </c>
      <c r="I552" s="192">
        <v>14.301000000000002</v>
      </c>
      <c r="J552" s="181"/>
      <c r="K552" s="181"/>
      <c r="L552" s="192">
        <f t="shared" si="7"/>
        <v>33.03</v>
      </c>
      <c r="M552" s="192">
        <f t="shared" si="8"/>
        <v>6.3000000000000007</v>
      </c>
      <c r="N552" s="181"/>
      <c r="O552" s="181"/>
    </row>
    <row r="553" spans="1:16">
      <c r="A553" s="83">
        <f>3</f>
        <v>3</v>
      </c>
      <c r="C553" s="188" t="s">
        <v>108</v>
      </c>
      <c r="D553" s="190">
        <f>2.01</f>
        <v>2.0099999999999998</v>
      </c>
      <c r="E553" s="191">
        <f>2.27</f>
        <v>2.27</v>
      </c>
      <c r="F553" s="88">
        <v>4.5626999999999995</v>
      </c>
      <c r="G553" s="88"/>
      <c r="H553" s="192">
        <v>12.84</v>
      </c>
      <c r="I553" s="192">
        <v>13.688099999999999</v>
      </c>
      <c r="J553" s="181"/>
      <c r="K553" s="181"/>
      <c r="L553" s="192">
        <f t="shared" si="7"/>
        <v>32.49</v>
      </c>
      <c r="M553" s="192">
        <f t="shared" si="8"/>
        <v>6.0299999999999994</v>
      </c>
      <c r="N553" s="181"/>
      <c r="O553" s="181"/>
    </row>
    <row r="554" spans="1:16">
      <c r="A554" s="83">
        <f>2</f>
        <v>2</v>
      </c>
      <c r="C554" s="188" t="s">
        <v>109</v>
      </c>
      <c r="D554" s="190">
        <f>1.665</f>
        <v>1.665</v>
      </c>
      <c r="E554" s="191">
        <f>2.27</f>
        <v>2.27</v>
      </c>
      <c r="F554" s="88">
        <v>3.77955</v>
      </c>
      <c r="G554" s="88"/>
      <c r="H554" s="192">
        <v>11.805</v>
      </c>
      <c r="I554" s="192">
        <v>7.5590999999999999</v>
      </c>
      <c r="J554" s="181"/>
      <c r="K554" s="181"/>
      <c r="L554" s="192">
        <f t="shared" si="7"/>
        <v>20.28</v>
      </c>
      <c r="M554" s="192">
        <f t="shared" si="8"/>
        <v>3.33</v>
      </c>
      <c r="N554" s="181"/>
      <c r="O554" s="181"/>
    </row>
    <row r="555" spans="1:16">
      <c r="A555" s="83">
        <f>1</f>
        <v>1</v>
      </c>
      <c r="B555" s="175"/>
      <c r="C555" s="188" t="s">
        <v>110</v>
      </c>
      <c r="D555" s="190">
        <f>1</f>
        <v>1</v>
      </c>
      <c r="E555" s="191">
        <f>2.27</f>
        <v>2.27</v>
      </c>
      <c r="F555" s="88">
        <v>2.27</v>
      </c>
      <c r="G555" s="88"/>
      <c r="H555" s="192">
        <v>7.54</v>
      </c>
      <c r="I555" s="192">
        <v>2.27</v>
      </c>
      <c r="J555" s="181"/>
      <c r="K555" s="181"/>
      <c r="L555" s="192">
        <f t="shared" si="7"/>
        <v>6.54</v>
      </c>
      <c r="M555" s="192">
        <f t="shared" si="8"/>
        <v>1</v>
      </c>
      <c r="N555" s="181"/>
      <c r="O555" s="181"/>
    </row>
    <row r="564" spans="1:16">
      <c r="A564" s="98"/>
      <c r="C564" s="99" t="s">
        <v>111</v>
      </c>
      <c r="D564" s="100" t="s">
        <v>112</v>
      </c>
      <c r="E564" s="28">
        <f>48</f>
        <v>48</v>
      </c>
      <c r="H564" s="101"/>
      <c r="J564" s="102"/>
      <c r="K564" s="102"/>
      <c r="L564" s="72">
        <f>120</f>
        <v>120</v>
      </c>
      <c r="M564" s="103" t="str">
        <f>IF(F564&gt;0,+F564*E564,CHAR(32))</f>
        <v xml:space="preserve"> </v>
      </c>
      <c r="N564" s="72">
        <f>IF(E564&gt;0,+E564*I564,CHAR(32))</f>
        <v>0</v>
      </c>
      <c r="O564" s="72"/>
      <c r="P564" s="72">
        <f>IF(L564&gt;0,+L564*E564,CHAR(32))</f>
        <v>5760</v>
      </c>
    </row>
    <row r="565" spans="1:16">
      <c r="A565" s="70"/>
      <c r="B565" s="175"/>
      <c r="C565" s="104" t="s">
        <v>113</v>
      </c>
      <c r="D565" s="100" t="s">
        <v>114</v>
      </c>
      <c r="E565" s="28">
        <f>2</f>
        <v>2</v>
      </c>
      <c r="H565" s="105" t="e">
        <f>NA()</f>
        <v>#N/A</v>
      </c>
      <c r="I565" s="31">
        <v>1016.949152542373</v>
      </c>
      <c r="J565" s="101" t="e">
        <f>NA()</f>
        <v>#N/A</v>
      </c>
      <c r="K565" s="101"/>
      <c r="L565" s="106"/>
      <c r="M565" s="106"/>
      <c r="N565" s="72">
        <f>IF(E565&gt;0,+E565*I565,CHAR(32))</f>
        <v>2033.898305084746</v>
      </c>
      <c r="O565" s="72"/>
      <c r="P565" s="72" t="str">
        <f>IF(L565&gt;0,+L565*E565,CHAR(32))</f>
        <v xml:space="preserve"> </v>
      </c>
    </row>
    <row r="567" spans="1:16">
      <c r="C567" s="28" t="s">
        <v>115</v>
      </c>
    </row>
    <row r="568" spans="1:16">
      <c r="C568" s="107" t="s">
        <v>116</v>
      </c>
      <c r="G568" s="72"/>
      <c r="I568" s="29"/>
      <c r="M568" s="72"/>
      <c r="N568" s="72"/>
      <c r="O568" s="72"/>
    </row>
    <row r="569" spans="1:16">
      <c r="A569" s="28" t="s">
        <v>117</v>
      </c>
      <c r="C569" s="28" t="s">
        <v>118</v>
      </c>
      <c r="D569" s="108">
        <f>3</f>
        <v>3</v>
      </c>
      <c r="E569" s="73">
        <f>3</f>
        <v>3</v>
      </c>
      <c r="F569" s="72">
        <v>8.1</v>
      </c>
      <c r="G569" s="31">
        <v>12</v>
      </c>
      <c r="H569" s="31" t="e">
        <f>NA()</f>
        <v>#N/A</v>
      </c>
      <c r="I569" s="31" t="e">
        <f>NA()</f>
        <v>#N/A</v>
      </c>
      <c r="J569" s="109" t="e">
        <f>NA()</f>
        <v>#N/A</v>
      </c>
      <c r="L569" s="72"/>
      <c r="M569" s="72" t="e">
        <f t="shared" ref="M569:M582" si="9">H569-(I569+J569+K569+L569)</f>
        <v>#N/A</v>
      </c>
      <c r="O569" s="72"/>
    </row>
    <row r="570" spans="1:16">
      <c r="A570" s="28" t="s">
        <v>119</v>
      </c>
      <c r="C570" s="28" t="s">
        <v>120</v>
      </c>
      <c r="D570" s="108">
        <f>14</f>
        <v>14</v>
      </c>
      <c r="E570" s="73">
        <f>11</f>
        <v>11</v>
      </c>
      <c r="F570" s="72">
        <v>104.7</v>
      </c>
      <c r="G570" s="31">
        <v>50</v>
      </c>
      <c r="H570" s="31" t="e">
        <f>NA()</f>
        <v>#N/A</v>
      </c>
      <c r="I570" s="31" t="e">
        <f>NA()</f>
        <v>#N/A</v>
      </c>
      <c r="J570" s="109" t="e">
        <f>NA()</f>
        <v>#N/A</v>
      </c>
      <c r="M570" s="72" t="e">
        <f t="shared" si="9"/>
        <v>#N/A</v>
      </c>
    </row>
    <row r="571" spans="1:16">
      <c r="A571" s="28" t="s">
        <v>121</v>
      </c>
      <c r="C571" s="110" t="s">
        <v>122</v>
      </c>
      <c r="D571" s="111">
        <f>2.85</f>
        <v>2.85</v>
      </c>
      <c r="E571" s="112">
        <f>2.4</f>
        <v>2.4</v>
      </c>
      <c r="F571" s="113">
        <v>6.85</v>
      </c>
      <c r="G571" s="81">
        <v>10.5</v>
      </c>
      <c r="H571" s="111">
        <v>88.2</v>
      </c>
      <c r="I571" s="111">
        <v>23.94</v>
      </c>
      <c r="J571" s="111">
        <v>64.260000000000005</v>
      </c>
      <c r="M571" s="72">
        <f t="shared" si="9"/>
        <v>0</v>
      </c>
    </row>
    <row r="572" spans="1:16">
      <c r="A572" s="28" t="s">
        <v>123</v>
      </c>
      <c r="C572" s="28" t="s">
        <v>124</v>
      </c>
      <c r="D572" s="31">
        <f>4.2</f>
        <v>4.2</v>
      </c>
      <c r="E572" s="73">
        <f>3.45</f>
        <v>3.45</v>
      </c>
      <c r="F572" s="72">
        <v>14.5</v>
      </c>
      <c r="G572" s="31">
        <v>15.3</v>
      </c>
      <c r="H572" s="31" t="e">
        <f>NA()</f>
        <v>#N/A</v>
      </c>
      <c r="I572" s="31" t="e">
        <f>NA()</f>
        <v>#N/A</v>
      </c>
      <c r="J572" s="31" t="e">
        <f>NA()</f>
        <v>#N/A</v>
      </c>
      <c r="K572" s="114" t="e">
        <f>H572-(I572+J572)</f>
        <v>#N/A</v>
      </c>
      <c r="L572" s="72"/>
      <c r="M572" s="72" t="e">
        <f t="shared" si="9"/>
        <v>#N/A</v>
      </c>
      <c r="O572" s="72"/>
    </row>
    <row r="573" spans="1:16">
      <c r="A573" s="28" t="s">
        <v>125</v>
      </c>
      <c r="C573" s="28" t="s">
        <v>126</v>
      </c>
      <c r="D573" s="31">
        <f>F573/E573</f>
        <v>10.555555555555555</v>
      </c>
      <c r="E573" s="73">
        <f>1.8</f>
        <v>1.8</v>
      </c>
      <c r="F573" s="72">
        <v>19</v>
      </c>
      <c r="G573" s="31">
        <v>24.711111111111112</v>
      </c>
      <c r="H573" s="31" t="e">
        <f>NA()</f>
        <v>#N/A</v>
      </c>
      <c r="J573" s="31" t="e">
        <f>NA()</f>
        <v>#N/A</v>
      </c>
      <c r="L573" s="115"/>
      <c r="M573" s="72" t="e">
        <f t="shared" si="9"/>
        <v>#N/A</v>
      </c>
      <c r="O573" s="72"/>
    </row>
    <row r="574" spans="1:16">
      <c r="A574" s="28" t="s">
        <v>127</v>
      </c>
      <c r="C574" s="28" t="s">
        <v>126</v>
      </c>
      <c r="D574" s="31">
        <f>F574/E574</f>
        <v>17</v>
      </c>
      <c r="E574" s="73">
        <f>1.8</f>
        <v>1.8</v>
      </c>
      <c r="F574" s="72">
        <v>30.6</v>
      </c>
      <c r="G574" s="31">
        <v>37.6</v>
      </c>
      <c r="H574" s="31" t="e">
        <f>NA()</f>
        <v>#N/A</v>
      </c>
      <c r="J574" s="31" t="e">
        <f>NA()</f>
        <v>#N/A</v>
      </c>
      <c r="L574" s="115"/>
      <c r="M574" s="72" t="e">
        <f t="shared" si="9"/>
        <v>#N/A</v>
      </c>
      <c r="O574" s="72"/>
    </row>
    <row r="575" spans="1:16">
      <c r="A575" s="28" t="s">
        <v>128</v>
      </c>
      <c r="C575" s="28" t="s">
        <v>118</v>
      </c>
      <c r="D575" s="31">
        <f>2</f>
        <v>2</v>
      </c>
      <c r="E575" s="73">
        <f>1.25</f>
        <v>1.25</v>
      </c>
      <c r="F575" s="72">
        <v>2.4500000000000002</v>
      </c>
      <c r="G575" s="31">
        <v>6.5</v>
      </c>
      <c r="H575" s="31" t="e">
        <f>NA()</f>
        <v>#N/A</v>
      </c>
      <c r="I575" s="31" t="e">
        <f>NA()</f>
        <v>#N/A</v>
      </c>
      <c r="J575" s="31" t="e">
        <f>NA()</f>
        <v>#N/A</v>
      </c>
      <c r="L575" s="115"/>
      <c r="M575" s="72" t="e">
        <f t="shared" si="9"/>
        <v>#N/A</v>
      </c>
      <c r="O575" s="72"/>
    </row>
    <row r="576" spans="1:16">
      <c r="A576" s="28" t="s">
        <v>129</v>
      </c>
      <c r="C576" s="116" t="s">
        <v>130</v>
      </c>
      <c r="D576" s="117">
        <f>1.4</f>
        <v>1.4</v>
      </c>
      <c r="E576" s="118">
        <f>1.3</f>
        <v>1.3</v>
      </c>
      <c r="F576" s="72">
        <v>1.8</v>
      </c>
      <c r="G576" s="31">
        <v>5.4</v>
      </c>
      <c r="H576" s="117" t="e">
        <f>NA()</f>
        <v>#N/A</v>
      </c>
      <c r="I576" s="117"/>
      <c r="J576" s="117" t="e">
        <f>NA()</f>
        <v>#N/A</v>
      </c>
      <c r="L576" s="117" t="e">
        <f>H576-(I576+J576)</f>
        <v>#N/A</v>
      </c>
      <c r="M576" s="72" t="e">
        <f t="shared" si="9"/>
        <v>#N/A</v>
      </c>
      <c r="O576" s="72"/>
    </row>
    <row r="577" spans="1:15">
      <c r="A577" s="28" t="s">
        <v>131</v>
      </c>
      <c r="C577" s="116" t="s">
        <v>132</v>
      </c>
      <c r="D577" s="117">
        <f>1.4</f>
        <v>1.4</v>
      </c>
      <c r="E577" s="118">
        <f>1.35</f>
        <v>1.35</v>
      </c>
      <c r="F577" s="72">
        <v>1.9</v>
      </c>
      <c r="G577" s="31">
        <v>5.5</v>
      </c>
      <c r="H577" s="117" t="e">
        <f>NA()</f>
        <v>#N/A</v>
      </c>
      <c r="I577" s="117"/>
      <c r="J577" s="117" t="e">
        <f>NA()</f>
        <v>#N/A</v>
      </c>
      <c r="L577" s="117" t="e">
        <f>H577-(I577+J577)</f>
        <v>#N/A</v>
      </c>
      <c r="M577" s="72" t="e">
        <f t="shared" si="9"/>
        <v>#N/A</v>
      </c>
    </row>
    <row r="578" spans="1:15">
      <c r="A578" s="28" t="s">
        <v>133</v>
      </c>
      <c r="C578" s="28" t="s">
        <v>126</v>
      </c>
      <c r="D578" s="29">
        <f>F578/E578</f>
        <v>15.65</v>
      </c>
      <c r="E578" s="31">
        <f>2</f>
        <v>2</v>
      </c>
      <c r="F578" s="29">
        <v>31.3</v>
      </c>
      <c r="G578" s="29">
        <v>35.299999999999997</v>
      </c>
      <c r="H578" s="31" t="e">
        <f>NA()</f>
        <v>#N/A</v>
      </c>
      <c r="I578" s="29"/>
      <c r="J578" s="31" t="e">
        <f>NA()</f>
        <v>#N/A</v>
      </c>
      <c r="M578" s="72" t="e">
        <f t="shared" si="9"/>
        <v>#N/A</v>
      </c>
    </row>
    <row r="579" spans="1:15">
      <c r="A579" s="28" t="s">
        <v>134</v>
      </c>
      <c r="C579" s="28" t="s">
        <v>126</v>
      </c>
      <c r="D579" s="31">
        <f>F579/E579</f>
        <v>15.839285714285715</v>
      </c>
      <c r="E579" s="31">
        <f>2.8</f>
        <v>2.8</v>
      </c>
      <c r="F579" s="31">
        <v>44.35</v>
      </c>
      <c r="G579" s="29">
        <v>37.278571428571432</v>
      </c>
      <c r="H579" s="29" t="e">
        <f>NA()</f>
        <v>#N/A</v>
      </c>
      <c r="I579" s="29"/>
      <c r="J579" s="29" t="e">
        <f>NA()</f>
        <v>#N/A</v>
      </c>
      <c r="M579" s="72" t="e">
        <f t="shared" si="9"/>
        <v>#N/A</v>
      </c>
      <c r="O579" s="72"/>
    </row>
    <row r="580" spans="1:15">
      <c r="A580" s="28" t="s">
        <v>135</v>
      </c>
      <c r="C580" s="28" t="s">
        <v>136</v>
      </c>
      <c r="D580" s="31">
        <f>6.35</f>
        <v>6.35</v>
      </c>
      <c r="E580" s="31">
        <f>2.5</f>
        <v>2.5</v>
      </c>
      <c r="F580" s="31">
        <v>14.9</v>
      </c>
      <c r="G580" s="29">
        <v>17.7</v>
      </c>
      <c r="H580" s="29" t="e">
        <f>NA()</f>
        <v>#N/A</v>
      </c>
      <c r="I580" s="29" t="e">
        <f>NA()</f>
        <v>#N/A</v>
      </c>
      <c r="J580" s="29" t="e">
        <f>NA()</f>
        <v>#N/A</v>
      </c>
      <c r="M580" s="72" t="e">
        <f t="shared" si="9"/>
        <v>#N/A</v>
      </c>
    </row>
    <row r="581" spans="1:15">
      <c r="A581" s="28" t="s">
        <v>137</v>
      </c>
      <c r="C581" s="28" t="s">
        <v>118</v>
      </c>
      <c r="D581" s="31">
        <f>2</f>
        <v>2</v>
      </c>
      <c r="E581" s="73">
        <f>1.35</f>
        <v>1.35</v>
      </c>
      <c r="F581" s="72">
        <v>2.25</v>
      </c>
      <c r="G581" s="31">
        <v>6.7</v>
      </c>
      <c r="H581" s="31" t="e">
        <f>NA()</f>
        <v>#N/A</v>
      </c>
      <c r="I581" s="31" t="e">
        <f>NA()</f>
        <v>#N/A</v>
      </c>
      <c r="J581" s="31" t="e">
        <f>NA()</f>
        <v>#N/A</v>
      </c>
      <c r="L581" s="115"/>
      <c r="M581" s="72" t="e">
        <f t="shared" si="9"/>
        <v>#N/A</v>
      </c>
    </row>
    <row r="582" spans="1:15">
      <c r="A582" s="28" t="s">
        <v>138</v>
      </c>
      <c r="C582" s="28" t="s">
        <v>118</v>
      </c>
      <c r="D582" s="31">
        <f>1.5</f>
        <v>1.5</v>
      </c>
      <c r="E582" s="73">
        <f>1.125</f>
        <v>1.125</v>
      </c>
      <c r="F582" s="72">
        <v>1.3</v>
      </c>
      <c r="G582" s="29">
        <v>5.25</v>
      </c>
      <c r="H582" s="29" t="e">
        <f>NA()</f>
        <v>#N/A</v>
      </c>
      <c r="I582" s="31" t="e">
        <f>NA()</f>
        <v>#N/A</v>
      </c>
      <c r="J582" s="29" t="e">
        <f>NA()</f>
        <v>#N/A</v>
      </c>
      <c r="L582" s="115"/>
      <c r="M582" s="72" t="e">
        <f t="shared" si="9"/>
        <v>#N/A</v>
      </c>
    </row>
    <row r="583" spans="1:15">
      <c r="C583" s="28"/>
      <c r="D583" s="31"/>
      <c r="E583" s="73"/>
      <c r="F583" s="72"/>
      <c r="H583" s="29"/>
      <c r="L583" s="115"/>
      <c r="M583" s="72"/>
    </row>
    <row r="584" spans="1:15">
      <c r="B584" s="175"/>
      <c r="C584" s="28"/>
      <c r="D584" s="31"/>
      <c r="E584" s="73"/>
      <c r="H584" s="29"/>
      <c r="L584" s="115"/>
      <c r="M584" s="72"/>
    </row>
    <row r="585" spans="1:15">
      <c r="B585" s="175"/>
      <c r="C585" s="28"/>
      <c r="D585" s="31"/>
      <c r="E585" s="73"/>
      <c r="F585" s="72"/>
      <c r="H585" s="29"/>
      <c r="L585" s="115"/>
      <c r="M585" s="72"/>
    </row>
    <row r="586" spans="1:15">
      <c r="A586" s="29"/>
      <c r="C586" s="107" t="s">
        <v>139</v>
      </c>
      <c r="D586" s="31"/>
      <c r="E586" s="119"/>
      <c r="F586" s="72"/>
      <c r="H586" s="29"/>
      <c r="I586" s="29"/>
      <c r="L586" s="115"/>
      <c r="M586" s="72">
        <f t="shared" ref="M586:M591" si="10">H586-(I586+J586+K586+L586)</f>
        <v>0</v>
      </c>
    </row>
    <row r="587" spans="1:15">
      <c r="A587" s="28" t="s">
        <v>140</v>
      </c>
      <c r="C587" s="28" t="s">
        <v>141</v>
      </c>
      <c r="D587" s="31">
        <f>4</f>
        <v>4</v>
      </c>
      <c r="E587" s="29">
        <f>2.875</f>
        <v>2.875</v>
      </c>
      <c r="F587" s="31">
        <v>11.3</v>
      </c>
      <c r="G587" s="29">
        <v>13.75</v>
      </c>
      <c r="H587" s="29" t="e">
        <f>NA()</f>
        <v>#N/A</v>
      </c>
      <c r="I587" s="31" t="e">
        <f>NA()</f>
        <v>#N/A</v>
      </c>
      <c r="J587" s="31" t="e">
        <f>NA()</f>
        <v>#N/A</v>
      </c>
      <c r="K587" s="114" t="e">
        <f>H587-(I587+J587)</f>
        <v>#N/A</v>
      </c>
      <c r="M587" s="72" t="e">
        <f t="shared" si="10"/>
        <v>#N/A</v>
      </c>
      <c r="O587" s="72"/>
    </row>
    <row r="588" spans="1:15">
      <c r="A588" s="28" t="s">
        <v>142</v>
      </c>
      <c r="C588" s="28" t="s">
        <v>143</v>
      </c>
      <c r="D588" s="31">
        <f>4</f>
        <v>4</v>
      </c>
      <c r="E588" s="31">
        <f>3</f>
        <v>3</v>
      </c>
      <c r="F588" s="31">
        <v>12</v>
      </c>
      <c r="G588" s="29">
        <v>14</v>
      </c>
      <c r="H588" s="29" t="e">
        <f>NA()</f>
        <v>#N/A</v>
      </c>
      <c r="I588" s="31" t="e">
        <f>NA()</f>
        <v>#N/A</v>
      </c>
      <c r="J588" s="31" t="e">
        <f>NA()</f>
        <v>#N/A</v>
      </c>
      <c r="K588" s="114" t="e">
        <f>H588-(I588+J588)</f>
        <v>#N/A</v>
      </c>
      <c r="M588" s="72" t="e">
        <f t="shared" si="10"/>
        <v>#N/A</v>
      </c>
      <c r="O588" s="72"/>
    </row>
    <row r="589" spans="1:15">
      <c r="A589" s="28" t="s">
        <v>144</v>
      </c>
      <c r="C589" s="28" t="s">
        <v>145</v>
      </c>
      <c r="D589" s="31">
        <f>5</f>
        <v>5</v>
      </c>
      <c r="E589" s="31">
        <f>4.8</f>
        <v>4.8</v>
      </c>
      <c r="F589" s="31">
        <v>22.5</v>
      </c>
      <c r="G589" s="31">
        <v>19.600000000000001</v>
      </c>
      <c r="H589" s="29" t="e">
        <f>NA()</f>
        <v>#N/A</v>
      </c>
      <c r="I589" s="31" t="e">
        <f>NA()</f>
        <v>#N/A</v>
      </c>
      <c r="J589" s="31" t="e">
        <f>NA()</f>
        <v>#N/A</v>
      </c>
      <c r="K589" s="114" t="e">
        <f>H589-(I589+J589)</f>
        <v>#N/A</v>
      </c>
      <c r="M589" s="72" t="e">
        <f t="shared" si="10"/>
        <v>#N/A</v>
      </c>
      <c r="O589" s="72"/>
    </row>
    <row r="590" spans="1:15">
      <c r="A590" s="28" t="s">
        <v>146</v>
      </c>
      <c r="C590" s="28" t="s">
        <v>147</v>
      </c>
      <c r="D590" s="31">
        <f>4.8</f>
        <v>4.8</v>
      </c>
      <c r="E590" s="31">
        <f>2.425</f>
        <v>2.4249999999999998</v>
      </c>
      <c r="F590" s="31">
        <v>10.6</v>
      </c>
      <c r="G590" s="29">
        <v>14.45</v>
      </c>
      <c r="H590" s="29" t="e">
        <f>NA()</f>
        <v>#N/A</v>
      </c>
      <c r="I590" s="29"/>
      <c r="J590" s="31" t="e">
        <f>NA()</f>
        <v>#N/A</v>
      </c>
      <c r="M590" s="72" t="e">
        <f t="shared" si="10"/>
        <v>#N/A</v>
      </c>
      <c r="O590" s="72"/>
    </row>
    <row r="591" spans="1:15">
      <c r="A591" s="28" t="s">
        <v>148</v>
      </c>
      <c r="B591" s="175"/>
      <c r="C591" s="28" t="s">
        <v>149</v>
      </c>
      <c r="D591" s="31">
        <f>7.55</f>
        <v>7.55</v>
      </c>
      <c r="E591" s="31">
        <f>4.8</f>
        <v>4.8</v>
      </c>
      <c r="F591" s="31">
        <v>34</v>
      </c>
      <c r="G591" s="31">
        <v>24.7</v>
      </c>
      <c r="H591" s="31" t="e">
        <f>NA()</f>
        <v>#N/A</v>
      </c>
      <c r="I591" s="31" t="e">
        <f>NA()</f>
        <v>#N/A</v>
      </c>
      <c r="J591" s="31" t="e">
        <f>NA()</f>
        <v>#N/A</v>
      </c>
      <c r="M591" s="72" t="e">
        <f t="shared" si="10"/>
        <v>#N/A</v>
      </c>
    </row>
    <row r="592" spans="1:15">
      <c r="B592" s="175"/>
      <c r="C592" s="28"/>
      <c r="D592" s="31"/>
      <c r="E592" s="31"/>
      <c r="F592" s="31"/>
      <c r="G592" s="31"/>
      <c r="J592" s="31"/>
      <c r="M592" s="72"/>
    </row>
    <row r="593" spans="1:15">
      <c r="B593" s="175"/>
      <c r="C593" s="28"/>
      <c r="D593" s="31"/>
      <c r="E593" s="31"/>
      <c r="F593" s="31"/>
      <c r="G593" s="31"/>
      <c r="J593" s="31"/>
      <c r="M593" s="72"/>
    </row>
    <row r="594" spans="1:15">
      <c r="B594" s="175"/>
      <c r="C594" s="28"/>
      <c r="D594" s="31"/>
      <c r="E594" s="31"/>
      <c r="J594" s="31"/>
      <c r="M594" s="72"/>
    </row>
    <row r="595" spans="1:15">
      <c r="B595" s="175"/>
      <c r="C595" s="28"/>
      <c r="D595" s="31"/>
      <c r="E595" s="31"/>
      <c r="F595" s="31"/>
      <c r="G595" s="31"/>
      <c r="J595" s="31"/>
      <c r="M595" s="72"/>
    </row>
    <row r="596" spans="1:15">
      <c r="A596" s="29"/>
      <c r="C596" s="107" t="s">
        <v>150</v>
      </c>
      <c r="D596" s="29"/>
      <c r="E596" s="31"/>
      <c r="G596" s="31"/>
      <c r="H596" s="29"/>
      <c r="I596" s="29"/>
      <c r="M596" s="72">
        <f>H596-(I596+J596+K596+L596)</f>
        <v>0</v>
      </c>
    </row>
    <row r="597" spans="1:15">
      <c r="A597" s="28" t="s">
        <v>151</v>
      </c>
      <c r="C597" s="120" t="s">
        <v>152</v>
      </c>
      <c r="D597" s="115">
        <f>6.3</f>
        <v>6.3</v>
      </c>
      <c r="E597" s="115">
        <f>2.9</f>
        <v>2.9</v>
      </c>
      <c r="F597" s="31">
        <v>18.149999999999999</v>
      </c>
      <c r="G597" s="29">
        <v>18.399999999999999</v>
      </c>
      <c r="H597" s="121" t="e">
        <f>NA()</f>
        <v>#N/A</v>
      </c>
      <c r="I597" s="115" t="e">
        <f>NA()</f>
        <v>#N/A</v>
      </c>
      <c r="J597" s="115" t="e">
        <f>NA()</f>
        <v>#N/A</v>
      </c>
      <c r="K597" s="115" t="e">
        <f>H597-(I597+J597)</f>
        <v>#N/A</v>
      </c>
      <c r="M597" s="72" t="e">
        <f>H597-(I597+J597+K597+L597)</f>
        <v>#N/A</v>
      </c>
      <c r="O597" s="72"/>
    </row>
    <row r="598" spans="1:15">
      <c r="A598" s="28" t="s">
        <v>153</v>
      </c>
      <c r="C598" s="28" t="s">
        <v>154</v>
      </c>
      <c r="D598" s="31">
        <f>3.3</f>
        <v>3.3</v>
      </c>
      <c r="E598" s="73">
        <f>3</f>
        <v>3</v>
      </c>
      <c r="F598" s="72">
        <v>10</v>
      </c>
      <c r="G598" s="31">
        <v>12.6</v>
      </c>
      <c r="H598" s="31" t="e">
        <f>NA()</f>
        <v>#N/A</v>
      </c>
      <c r="I598" s="31" t="e">
        <f>NA()</f>
        <v>#N/A</v>
      </c>
      <c r="J598" s="31" t="e">
        <f>NA()</f>
        <v>#N/A</v>
      </c>
      <c r="K598" s="114" t="e">
        <f>H598-(I598+J598)</f>
        <v>#N/A</v>
      </c>
      <c r="M598" s="72" t="e">
        <f>H598-(I598+J598+K598+L598)</f>
        <v>#N/A</v>
      </c>
    </row>
    <row r="599" spans="1:15">
      <c r="A599" s="28" t="s">
        <v>155</v>
      </c>
      <c r="C599" s="116" t="s">
        <v>132</v>
      </c>
      <c r="D599" s="117">
        <f>2.75</f>
        <v>2.75</v>
      </c>
      <c r="E599" s="122">
        <f>2.225</f>
        <v>2.2250000000000001</v>
      </c>
      <c r="F599" s="72">
        <v>6.15</v>
      </c>
      <c r="G599" s="31">
        <v>9.9499999999999993</v>
      </c>
      <c r="H599" s="117" t="e">
        <f>NA()</f>
        <v>#N/A</v>
      </c>
      <c r="I599" s="117"/>
      <c r="J599" s="117" t="e">
        <f>NA()</f>
        <v>#N/A</v>
      </c>
      <c r="L599" s="117" t="e">
        <f>H599-(I599+J599)</f>
        <v>#N/A</v>
      </c>
      <c r="M599" s="72" t="e">
        <f>H599-(I599+J599+K599+L599)</f>
        <v>#N/A</v>
      </c>
      <c r="O599" s="72"/>
    </row>
    <row r="600" spans="1:15">
      <c r="A600" s="28" t="s">
        <v>156</v>
      </c>
      <c r="C600" s="116" t="s">
        <v>157</v>
      </c>
      <c r="D600" s="117">
        <f>4</f>
        <v>4</v>
      </c>
      <c r="E600" s="118">
        <f>2.75</f>
        <v>2.75</v>
      </c>
      <c r="F600" s="72">
        <v>11.9</v>
      </c>
      <c r="G600" s="31">
        <v>13.5</v>
      </c>
      <c r="H600" s="117" t="e">
        <f>NA()</f>
        <v>#N/A</v>
      </c>
      <c r="I600" s="117" t="e">
        <f>NA()</f>
        <v>#N/A</v>
      </c>
      <c r="J600" s="117" t="e">
        <f>NA()</f>
        <v>#N/A</v>
      </c>
      <c r="K600" s="114"/>
      <c r="L600" s="117" t="e">
        <f>H600-(I600+J600)</f>
        <v>#N/A</v>
      </c>
      <c r="M600" s="72"/>
      <c r="O600" s="72"/>
    </row>
    <row r="601" spans="1:15">
      <c r="A601" s="28" t="s">
        <v>158</v>
      </c>
      <c r="C601" s="116" t="s">
        <v>159</v>
      </c>
      <c r="D601" s="117">
        <f>6.3</f>
        <v>6.3</v>
      </c>
      <c r="E601" s="117">
        <f>2.9</f>
        <v>2.9</v>
      </c>
      <c r="F601" s="72">
        <v>18.399999999999999</v>
      </c>
      <c r="G601" s="31">
        <v>18.399999999999999</v>
      </c>
      <c r="H601" s="117" t="e">
        <f>NA()</f>
        <v>#N/A</v>
      </c>
      <c r="I601" s="117" t="e">
        <f>NA()</f>
        <v>#N/A</v>
      </c>
      <c r="J601" s="117" t="e">
        <f>NA()</f>
        <v>#N/A</v>
      </c>
      <c r="K601" s="114"/>
      <c r="L601" s="117" t="e">
        <f>H601-(I601+J601)</f>
        <v>#N/A</v>
      </c>
      <c r="M601" s="72"/>
    </row>
    <row r="602" spans="1:15">
      <c r="A602" s="28" t="s">
        <v>160</v>
      </c>
      <c r="C602" s="28" t="s">
        <v>161</v>
      </c>
      <c r="D602" s="108">
        <f>6.3</f>
        <v>6.3</v>
      </c>
      <c r="E602" s="73">
        <f>3</f>
        <v>3</v>
      </c>
      <c r="F602" s="72">
        <v>13.4</v>
      </c>
      <c r="G602" s="31">
        <v>18.600000000000001</v>
      </c>
      <c r="H602" s="31" t="e">
        <f>NA()</f>
        <v>#N/A</v>
      </c>
      <c r="I602" s="31" t="e">
        <f>NA()</f>
        <v>#N/A</v>
      </c>
      <c r="J602" s="31" t="e">
        <f>NA()</f>
        <v>#N/A</v>
      </c>
      <c r="K602" s="114" t="e">
        <f>H602-(I602+J602)</f>
        <v>#N/A</v>
      </c>
      <c r="L602" s="115"/>
      <c r="M602" s="72" t="e">
        <f>H602-(I602+J602+K602+L602)</f>
        <v>#N/A</v>
      </c>
      <c r="O602" s="72"/>
    </row>
    <row r="603" spans="1:15">
      <c r="A603" s="28" t="s">
        <v>162</v>
      </c>
      <c r="C603" s="116" t="s">
        <v>163</v>
      </c>
      <c r="D603" s="117">
        <f>2.2</f>
        <v>2.2000000000000002</v>
      </c>
      <c r="E603" s="118">
        <f>1.35</f>
        <v>1.35</v>
      </c>
      <c r="F603" s="72">
        <v>3</v>
      </c>
      <c r="G603" s="31">
        <v>7.1</v>
      </c>
      <c r="H603" s="117" t="e">
        <f>NA()</f>
        <v>#N/A</v>
      </c>
      <c r="I603" s="117"/>
      <c r="J603" s="117" t="e">
        <f>NA()</f>
        <v>#N/A</v>
      </c>
      <c r="L603" s="117" t="e">
        <f>H603-(I603+J603)</f>
        <v>#N/A</v>
      </c>
      <c r="M603" s="72" t="e">
        <f>H603-(I603+J603+K603+L603)</f>
        <v>#N/A</v>
      </c>
      <c r="O603" s="117"/>
    </row>
    <row r="604" spans="1:15">
      <c r="A604" s="28" t="s">
        <v>164</v>
      </c>
      <c r="C604" s="116" t="s">
        <v>165</v>
      </c>
      <c r="D604" s="117">
        <f>1.35</f>
        <v>1.35</v>
      </c>
      <c r="E604" s="118">
        <f>0.85</f>
        <v>0.85</v>
      </c>
      <c r="F604" s="72">
        <v>1.1499999999999999</v>
      </c>
      <c r="G604" s="29">
        <v>4.4000000000000004</v>
      </c>
      <c r="H604" s="117" t="e">
        <f>NA()</f>
        <v>#N/A</v>
      </c>
      <c r="I604" s="117"/>
      <c r="J604" s="117" t="e">
        <f>NA()</f>
        <v>#N/A</v>
      </c>
      <c r="L604" s="117" t="e">
        <f>H604-(I604+J604)</f>
        <v>#N/A</v>
      </c>
      <c r="M604" s="72" t="e">
        <f>H604-(I604+J604+K604+L604)</f>
        <v>#N/A</v>
      </c>
      <c r="O604" s="72"/>
    </row>
    <row r="605" spans="1:15">
      <c r="C605" s="116"/>
      <c r="D605" s="117"/>
      <c r="E605" s="118"/>
      <c r="F605" s="72"/>
      <c r="H605" s="117"/>
      <c r="I605" s="117"/>
      <c r="J605" s="117"/>
      <c r="L605" s="117"/>
      <c r="M605" s="72"/>
      <c r="O605" s="72"/>
    </row>
    <row r="606" spans="1:15">
      <c r="A606" s="29"/>
      <c r="C606" s="107" t="s">
        <v>166</v>
      </c>
      <c r="D606" s="117"/>
      <c r="E606" s="118"/>
      <c r="F606" s="72"/>
      <c r="G606" s="31"/>
      <c r="H606" s="117"/>
      <c r="I606" s="29"/>
      <c r="J606" s="117"/>
      <c r="L606" s="117"/>
      <c r="M606" s="72">
        <f t="shared" ref="M606:M633" si="11">H606-(I606+J606+K606+L606)</f>
        <v>0</v>
      </c>
      <c r="O606" s="117"/>
    </row>
    <row r="607" spans="1:15">
      <c r="A607" s="28" t="s">
        <v>167</v>
      </c>
      <c r="C607" s="28" t="s">
        <v>168</v>
      </c>
      <c r="D607" s="108">
        <f>6.3</f>
        <v>6.3</v>
      </c>
      <c r="E607" s="73">
        <f>4.5</f>
        <v>4.5</v>
      </c>
      <c r="F607" s="72">
        <v>19.75</v>
      </c>
      <c r="G607" s="31">
        <v>21.6</v>
      </c>
      <c r="H607" s="31" t="e">
        <f>NA()</f>
        <v>#N/A</v>
      </c>
      <c r="I607" s="31" t="e">
        <f>NA()</f>
        <v>#N/A</v>
      </c>
      <c r="J607" s="31" t="e">
        <f>NA()</f>
        <v>#N/A</v>
      </c>
      <c r="K607" s="114" t="e">
        <f>H607-(I607+J607)</f>
        <v>#N/A</v>
      </c>
      <c r="M607" s="72" t="e">
        <f t="shared" si="11"/>
        <v>#N/A</v>
      </c>
    </row>
    <row r="608" spans="1:15">
      <c r="A608" s="28" t="s">
        <v>169</v>
      </c>
      <c r="C608" s="116" t="s">
        <v>170</v>
      </c>
      <c r="D608" s="117">
        <f>F608/E608</f>
        <v>2.9999999999999996</v>
      </c>
      <c r="E608" s="117">
        <f>2.7</f>
        <v>2.7</v>
      </c>
      <c r="F608" s="31">
        <v>8.1</v>
      </c>
      <c r="G608" s="29">
        <v>11.4</v>
      </c>
      <c r="H608" s="117" t="e">
        <f>NA()</f>
        <v>#N/A</v>
      </c>
      <c r="I608" s="117"/>
      <c r="J608" s="117" t="e">
        <f>NA()</f>
        <v>#N/A</v>
      </c>
      <c r="L608" s="117" t="e">
        <f>H608-(I608+J608)</f>
        <v>#N/A</v>
      </c>
      <c r="M608" s="72" t="e">
        <f t="shared" si="11"/>
        <v>#N/A</v>
      </c>
    </row>
    <row r="609" spans="1:15">
      <c r="A609" s="28" t="s">
        <v>171</v>
      </c>
      <c r="C609" s="28" t="s">
        <v>172</v>
      </c>
      <c r="D609" s="108">
        <f>2.7</f>
        <v>2.7</v>
      </c>
      <c r="E609" s="73">
        <f>2.5</f>
        <v>2.5</v>
      </c>
      <c r="F609" s="72">
        <v>6.75</v>
      </c>
      <c r="G609" s="31">
        <v>10.4</v>
      </c>
      <c r="H609" s="31" t="e">
        <f>NA()</f>
        <v>#N/A</v>
      </c>
      <c r="J609" s="31" t="e">
        <f>NA()</f>
        <v>#N/A</v>
      </c>
      <c r="K609" s="114" t="e">
        <f>H609-(I609+J609)</f>
        <v>#N/A</v>
      </c>
      <c r="L609" s="72"/>
      <c r="M609" s="72" t="e">
        <f t="shared" si="11"/>
        <v>#N/A</v>
      </c>
      <c r="O609" s="72"/>
    </row>
    <row r="610" spans="1:15">
      <c r="A610" s="28" t="s">
        <v>173</v>
      </c>
      <c r="C610" s="28" t="s">
        <v>174</v>
      </c>
      <c r="D610" s="108">
        <f>6.3</f>
        <v>6.3</v>
      </c>
      <c r="E610" s="73">
        <f>4.5</f>
        <v>4.5</v>
      </c>
      <c r="F610" s="72">
        <v>21.6</v>
      </c>
      <c r="G610" s="31">
        <v>21.6</v>
      </c>
      <c r="H610" s="31" t="e">
        <f>NA()</f>
        <v>#N/A</v>
      </c>
      <c r="I610" s="31" t="e">
        <f>NA()</f>
        <v>#N/A</v>
      </c>
      <c r="J610" s="31" t="e">
        <f>NA()</f>
        <v>#N/A</v>
      </c>
      <c r="K610" s="114" t="e">
        <f>H610-(I610+J610)</f>
        <v>#N/A</v>
      </c>
      <c r="L610" s="72"/>
      <c r="M610" s="72" t="e">
        <f t="shared" si="11"/>
        <v>#N/A</v>
      </c>
      <c r="O610" s="72"/>
    </row>
    <row r="611" spans="1:15">
      <c r="A611" s="28" t="s">
        <v>175</v>
      </c>
      <c r="C611" s="28" t="s">
        <v>176</v>
      </c>
      <c r="D611" s="108">
        <f>4.5</f>
        <v>4.5</v>
      </c>
      <c r="E611" s="73">
        <f>2.7</f>
        <v>2.7</v>
      </c>
      <c r="F611" s="72">
        <v>12.15</v>
      </c>
      <c r="G611" s="31">
        <v>14.4</v>
      </c>
      <c r="H611" s="31" t="e">
        <f>NA()</f>
        <v>#N/A</v>
      </c>
      <c r="I611" s="31" t="e">
        <f>NA()</f>
        <v>#N/A</v>
      </c>
      <c r="J611" s="31" t="e">
        <f>NA()</f>
        <v>#N/A</v>
      </c>
      <c r="K611" s="114" t="e">
        <f>H611-(I611+J611)</f>
        <v>#N/A</v>
      </c>
      <c r="L611" s="72"/>
      <c r="M611" s="72" t="e">
        <f t="shared" si="11"/>
        <v>#N/A</v>
      </c>
      <c r="O611" s="72"/>
    </row>
    <row r="612" spans="1:15">
      <c r="A612" s="28" t="s">
        <v>177</v>
      </c>
      <c r="C612" s="28" t="s">
        <v>178</v>
      </c>
      <c r="D612" s="108">
        <f>3.5</f>
        <v>3.5</v>
      </c>
      <c r="E612" s="73">
        <f>1.8</f>
        <v>1.8</v>
      </c>
      <c r="F612" s="72">
        <v>5.9</v>
      </c>
      <c r="G612" s="31">
        <v>10.6</v>
      </c>
      <c r="H612" s="31" t="e">
        <f>NA()</f>
        <v>#N/A</v>
      </c>
      <c r="J612" s="31"/>
      <c r="K612" s="114" t="e">
        <f>H612-(I612+J612)</f>
        <v>#N/A</v>
      </c>
      <c r="L612" s="72"/>
      <c r="M612" s="72" t="e">
        <f t="shared" si="11"/>
        <v>#N/A</v>
      </c>
      <c r="O612" s="72"/>
    </row>
    <row r="613" spans="1:15">
      <c r="A613" s="28" t="s">
        <v>179</v>
      </c>
      <c r="C613" s="116" t="s">
        <v>180</v>
      </c>
      <c r="D613" s="117">
        <f>1.65</f>
        <v>1.65</v>
      </c>
      <c r="E613" s="118">
        <f>1.4</f>
        <v>1.4</v>
      </c>
      <c r="F613" s="72">
        <v>2.2999999999999998</v>
      </c>
      <c r="G613" s="31">
        <v>6.1</v>
      </c>
      <c r="H613" s="117" t="e">
        <f>NA()</f>
        <v>#N/A</v>
      </c>
      <c r="I613" s="29"/>
      <c r="J613" s="117" t="e">
        <f>NA()</f>
        <v>#N/A</v>
      </c>
      <c r="L613" s="117" t="e">
        <f>H613-(I613+J613)</f>
        <v>#N/A</v>
      </c>
      <c r="M613" s="72" t="e">
        <f t="shared" si="11"/>
        <v>#N/A</v>
      </c>
      <c r="O613" s="117"/>
    </row>
    <row r="614" spans="1:15">
      <c r="A614" s="28" t="s">
        <v>181</v>
      </c>
      <c r="C614" s="116" t="s">
        <v>132</v>
      </c>
      <c r="D614" s="117">
        <f>1.55</f>
        <v>1.55</v>
      </c>
      <c r="E614" s="118">
        <f>1.4</f>
        <v>1.4</v>
      </c>
      <c r="F614" s="72">
        <v>2.15</v>
      </c>
      <c r="G614" s="31">
        <v>5.9</v>
      </c>
      <c r="H614" s="117" t="e">
        <f>NA()</f>
        <v>#N/A</v>
      </c>
      <c r="I614" s="29"/>
      <c r="J614" s="117" t="e">
        <f>NA()</f>
        <v>#N/A</v>
      </c>
      <c r="L614" s="117" t="e">
        <f>H614-(I614+J614)</f>
        <v>#N/A</v>
      </c>
      <c r="M614" s="72" t="e">
        <f t="shared" si="11"/>
        <v>#N/A</v>
      </c>
      <c r="O614" s="117"/>
    </row>
    <row r="615" spans="1:15">
      <c r="A615" s="28" t="s">
        <v>182</v>
      </c>
      <c r="B615" s="175"/>
      <c r="C615" s="28" t="s">
        <v>183</v>
      </c>
      <c r="D615" s="108">
        <f>6.3</f>
        <v>6.3</v>
      </c>
      <c r="E615" s="73">
        <f>4.5</f>
        <v>4.5</v>
      </c>
      <c r="F615" s="72">
        <v>22</v>
      </c>
      <c r="G615" s="31">
        <v>21.6</v>
      </c>
      <c r="H615" s="31" t="e">
        <f>NA()</f>
        <v>#N/A</v>
      </c>
      <c r="I615" s="31" t="e">
        <f>NA()</f>
        <v>#N/A</v>
      </c>
      <c r="J615" s="31" t="e">
        <f>NA()</f>
        <v>#N/A</v>
      </c>
      <c r="K615" s="114" t="e">
        <f>H615-(I615+J615)</f>
        <v>#N/A</v>
      </c>
      <c r="L615" s="72"/>
      <c r="M615" s="72" t="e">
        <f t="shared" si="11"/>
        <v>#N/A</v>
      </c>
      <c r="O615" s="72"/>
    </row>
    <row r="616" spans="1:15">
      <c r="A616" s="28" t="s">
        <v>184</v>
      </c>
      <c r="C616" s="116" t="s">
        <v>180</v>
      </c>
      <c r="D616" s="117">
        <f>1.8</f>
        <v>1.8</v>
      </c>
      <c r="E616" s="118">
        <f>0.9</f>
        <v>0.9</v>
      </c>
      <c r="F616" s="72">
        <v>1.6</v>
      </c>
      <c r="G616" s="31">
        <v>5.4</v>
      </c>
      <c r="H616" s="117" t="e">
        <f>NA()</f>
        <v>#N/A</v>
      </c>
      <c r="I616" s="29"/>
      <c r="J616" s="117" t="e">
        <f>NA()</f>
        <v>#N/A</v>
      </c>
      <c r="L616" s="117" t="e">
        <f>H616-(I616+J616)</f>
        <v>#N/A</v>
      </c>
      <c r="M616" s="72" t="e">
        <f t="shared" si="11"/>
        <v>#N/A</v>
      </c>
      <c r="O616" s="117"/>
    </row>
    <row r="617" spans="1:15">
      <c r="A617" s="28" t="s">
        <v>185</v>
      </c>
      <c r="C617" s="116" t="s">
        <v>180</v>
      </c>
      <c r="D617" s="117">
        <f>1.8</f>
        <v>1.8</v>
      </c>
      <c r="E617" s="118">
        <f>0.9</f>
        <v>0.9</v>
      </c>
      <c r="F617" s="72">
        <v>1.6</v>
      </c>
      <c r="G617" s="31">
        <v>5.4</v>
      </c>
      <c r="H617" s="117" t="e">
        <f>NA()</f>
        <v>#N/A</v>
      </c>
      <c r="I617" s="29"/>
      <c r="J617" s="117" t="e">
        <f>NA()</f>
        <v>#N/A</v>
      </c>
      <c r="L617" s="117" t="e">
        <f>H617-(I617+J617)</f>
        <v>#N/A</v>
      </c>
      <c r="M617" s="72" t="e">
        <f t="shared" si="11"/>
        <v>#N/A</v>
      </c>
      <c r="O617" s="117"/>
    </row>
    <row r="618" spans="1:15">
      <c r="A618" s="28" t="s">
        <v>186</v>
      </c>
      <c r="C618" s="116" t="s">
        <v>132</v>
      </c>
      <c r="D618" s="117">
        <f>1.8</f>
        <v>1.8</v>
      </c>
      <c r="E618" s="118">
        <f>1.35</f>
        <v>1.35</v>
      </c>
      <c r="F618" s="72">
        <v>2.4</v>
      </c>
      <c r="G618" s="31">
        <v>6.3</v>
      </c>
      <c r="H618" s="117" t="e">
        <f>NA()</f>
        <v>#N/A</v>
      </c>
      <c r="I618" s="29"/>
      <c r="J618" s="117" t="e">
        <f>NA()</f>
        <v>#N/A</v>
      </c>
      <c r="L618" s="117" t="e">
        <f>H618-(I618+J618)</f>
        <v>#N/A</v>
      </c>
      <c r="M618" s="72" t="e">
        <f t="shared" si="11"/>
        <v>#N/A</v>
      </c>
      <c r="O618" s="117"/>
    </row>
    <row r="619" spans="1:15">
      <c r="A619" s="28" t="s">
        <v>187</v>
      </c>
      <c r="C619" s="28" t="s">
        <v>188</v>
      </c>
      <c r="D619" s="108">
        <f>5.4</f>
        <v>5.4</v>
      </c>
      <c r="E619" s="73">
        <f>2.9</f>
        <v>2.9</v>
      </c>
      <c r="F619" s="72">
        <v>15.7</v>
      </c>
      <c r="G619" s="31">
        <v>16.600000000000001</v>
      </c>
      <c r="H619" s="31" t="e">
        <f>NA()</f>
        <v>#N/A</v>
      </c>
      <c r="I619" s="31" t="e">
        <f>NA()</f>
        <v>#N/A</v>
      </c>
      <c r="J619" s="31"/>
      <c r="K619" s="114" t="e">
        <f t="shared" ref="K619:K624" si="12">H619-(I619+J619)</f>
        <v>#N/A</v>
      </c>
      <c r="L619" s="72"/>
      <c r="M619" s="72" t="e">
        <f t="shared" si="11"/>
        <v>#N/A</v>
      </c>
      <c r="O619" s="72"/>
    </row>
    <row r="620" spans="1:15">
      <c r="A620" s="28" t="s">
        <v>189</v>
      </c>
      <c r="C620" s="28" t="s">
        <v>188</v>
      </c>
      <c r="D620" s="108">
        <f>5.4</f>
        <v>5.4</v>
      </c>
      <c r="E620" s="73">
        <f>3.1</f>
        <v>3.1</v>
      </c>
      <c r="F620" s="72">
        <v>16.8</v>
      </c>
      <c r="G620" s="31">
        <v>17</v>
      </c>
      <c r="H620" s="31" t="e">
        <f>NA()</f>
        <v>#N/A</v>
      </c>
      <c r="I620" s="31" t="e">
        <f>NA()</f>
        <v>#N/A</v>
      </c>
      <c r="J620" s="31" t="e">
        <f>NA()</f>
        <v>#N/A</v>
      </c>
      <c r="K620" s="114" t="e">
        <f t="shared" si="12"/>
        <v>#N/A</v>
      </c>
      <c r="L620" s="72"/>
      <c r="M620" s="72" t="e">
        <f t="shared" si="11"/>
        <v>#N/A</v>
      </c>
      <c r="O620" s="72"/>
    </row>
    <row r="621" spans="1:15">
      <c r="A621" s="28" t="s">
        <v>190</v>
      </c>
      <c r="C621" s="28" t="s">
        <v>188</v>
      </c>
      <c r="D621" s="108">
        <f>5.4</f>
        <v>5.4</v>
      </c>
      <c r="E621" s="73">
        <f>2.9</f>
        <v>2.9</v>
      </c>
      <c r="F621" s="72">
        <v>15.7</v>
      </c>
      <c r="G621" s="31">
        <v>16.600000000000001</v>
      </c>
      <c r="H621" s="31" t="e">
        <f>NA()</f>
        <v>#N/A</v>
      </c>
      <c r="I621" s="31" t="e">
        <f>NA()</f>
        <v>#N/A</v>
      </c>
      <c r="J621" s="31" t="e">
        <f>NA()</f>
        <v>#N/A</v>
      </c>
      <c r="K621" s="114" t="e">
        <f t="shared" si="12"/>
        <v>#N/A</v>
      </c>
      <c r="L621" s="72"/>
      <c r="M621" s="72" t="e">
        <f t="shared" si="11"/>
        <v>#N/A</v>
      </c>
      <c r="O621" s="72"/>
    </row>
    <row r="622" spans="1:15">
      <c r="A622" s="28" t="s">
        <v>191</v>
      </c>
      <c r="C622" s="28" t="s">
        <v>188</v>
      </c>
      <c r="D622" s="108">
        <f>5.4</f>
        <v>5.4</v>
      </c>
      <c r="E622" s="73">
        <f>3.1</f>
        <v>3.1</v>
      </c>
      <c r="F622" s="72">
        <v>16.8</v>
      </c>
      <c r="G622" s="31">
        <v>17</v>
      </c>
      <c r="H622" s="31" t="e">
        <f>NA()</f>
        <v>#N/A</v>
      </c>
      <c r="I622" s="31" t="e">
        <f>NA()</f>
        <v>#N/A</v>
      </c>
      <c r="J622" s="31" t="e">
        <f>NA()</f>
        <v>#N/A</v>
      </c>
      <c r="K622" s="114" t="e">
        <f t="shared" si="12"/>
        <v>#N/A</v>
      </c>
      <c r="L622" s="72"/>
      <c r="M622" s="72" t="e">
        <f t="shared" si="11"/>
        <v>#N/A</v>
      </c>
      <c r="O622" s="72"/>
    </row>
    <row r="623" spans="1:15">
      <c r="A623" s="28" t="s">
        <v>192</v>
      </c>
      <c r="C623" s="28" t="s">
        <v>188</v>
      </c>
      <c r="D623" s="108">
        <f>6.3</f>
        <v>6.3</v>
      </c>
      <c r="E623" s="73">
        <f>2.9</f>
        <v>2.9</v>
      </c>
      <c r="F623" s="72">
        <v>15.3</v>
      </c>
      <c r="G623" s="31">
        <v>18.399999999999999</v>
      </c>
      <c r="H623" s="31" t="e">
        <f>NA()</f>
        <v>#N/A</v>
      </c>
      <c r="I623" s="31" t="e">
        <f>NA()</f>
        <v>#N/A</v>
      </c>
      <c r="J623" s="31" t="e">
        <f>NA()</f>
        <v>#N/A</v>
      </c>
      <c r="K623" s="114" t="e">
        <f t="shared" si="12"/>
        <v>#N/A</v>
      </c>
      <c r="L623" s="72"/>
      <c r="M623" s="72" t="e">
        <f t="shared" si="11"/>
        <v>#N/A</v>
      </c>
      <c r="O623" s="72"/>
    </row>
    <row r="624" spans="1:15">
      <c r="A624" s="28" t="s">
        <v>193</v>
      </c>
      <c r="C624" s="28" t="s">
        <v>194</v>
      </c>
      <c r="D624" s="108">
        <f>1.7</f>
        <v>1.7</v>
      </c>
      <c r="E624" s="73">
        <f>1.5</f>
        <v>1.5</v>
      </c>
      <c r="F624" s="72">
        <v>2.5499999999999998</v>
      </c>
      <c r="G624" s="31">
        <v>6.4</v>
      </c>
      <c r="H624" s="31" t="e">
        <f>NA()</f>
        <v>#N/A</v>
      </c>
      <c r="J624" s="31" t="e">
        <f>NA()</f>
        <v>#N/A</v>
      </c>
      <c r="K624" s="114" t="e">
        <f t="shared" si="12"/>
        <v>#N/A</v>
      </c>
      <c r="L624" s="72"/>
      <c r="M624" s="72" t="e">
        <f t="shared" si="11"/>
        <v>#N/A</v>
      </c>
      <c r="O624" s="72"/>
    </row>
    <row r="625" spans="1:15">
      <c r="A625" s="29"/>
      <c r="C625" s="28"/>
      <c r="D625" s="108"/>
      <c r="E625" s="73"/>
      <c r="F625" s="72"/>
      <c r="J625" s="109"/>
      <c r="L625" s="72"/>
      <c r="M625" s="72">
        <f t="shared" si="11"/>
        <v>0</v>
      </c>
      <c r="O625" s="72"/>
    </row>
    <row r="626" spans="1:15">
      <c r="A626" s="29"/>
      <c r="C626" s="107" t="s">
        <v>195</v>
      </c>
      <c r="D626" s="108"/>
      <c r="E626" s="73"/>
      <c r="F626" s="72"/>
      <c r="G626" s="31"/>
      <c r="J626" s="109"/>
      <c r="L626" s="72"/>
      <c r="M626" s="72">
        <f t="shared" si="11"/>
        <v>0</v>
      </c>
      <c r="O626" s="72"/>
    </row>
    <row r="627" spans="1:15">
      <c r="A627" s="28" t="s">
        <v>196</v>
      </c>
      <c r="C627" s="28" t="s">
        <v>197</v>
      </c>
      <c r="D627" s="108">
        <f>6.3</f>
        <v>6.3</v>
      </c>
      <c r="E627" s="73">
        <f>4.5</f>
        <v>4.5</v>
      </c>
      <c r="F627" s="72">
        <v>18.649999999999999</v>
      </c>
      <c r="G627" s="31">
        <v>21.6</v>
      </c>
      <c r="H627" s="31" t="e">
        <f>NA()</f>
        <v>#N/A</v>
      </c>
      <c r="I627" s="31" t="e">
        <f>NA()</f>
        <v>#N/A</v>
      </c>
      <c r="J627" s="31" t="e">
        <f>NA()</f>
        <v>#N/A</v>
      </c>
      <c r="K627" s="114" t="e">
        <f>H627-(I627+J627)</f>
        <v>#N/A</v>
      </c>
      <c r="L627" s="72"/>
      <c r="M627" s="72" t="e">
        <f t="shared" si="11"/>
        <v>#N/A</v>
      </c>
      <c r="O627" s="72"/>
    </row>
    <row r="628" spans="1:15">
      <c r="A628" s="28" t="s">
        <v>198</v>
      </c>
      <c r="B628" s="175"/>
      <c r="C628" s="116" t="s">
        <v>199</v>
      </c>
      <c r="D628" s="117">
        <f>6.3</f>
        <v>6.3</v>
      </c>
      <c r="E628" s="118">
        <f>4.5</f>
        <v>4.5</v>
      </c>
      <c r="F628" s="72">
        <v>25.1</v>
      </c>
      <c r="G628" s="31">
        <v>21.6</v>
      </c>
      <c r="H628" s="117" t="e">
        <f>NA()</f>
        <v>#N/A</v>
      </c>
      <c r="I628" s="117" t="e">
        <f>NA()</f>
        <v>#N/A</v>
      </c>
      <c r="J628" s="117" t="e">
        <f>NA()</f>
        <v>#N/A</v>
      </c>
      <c r="L628" s="117" t="e">
        <f>H628-(I628+J628)</f>
        <v>#N/A</v>
      </c>
      <c r="M628" s="72" t="e">
        <f t="shared" si="11"/>
        <v>#N/A</v>
      </c>
      <c r="O628" s="117"/>
    </row>
    <row r="629" spans="1:15">
      <c r="A629" s="28" t="s">
        <v>200</v>
      </c>
      <c r="B629" s="175"/>
      <c r="C629" s="116" t="s">
        <v>132</v>
      </c>
      <c r="D629" s="117">
        <f>2.1</f>
        <v>2.1</v>
      </c>
      <c r="E629" s="118">
        <f>1</f>
        <v>1</v>
      </c>
      <c r="F629" s="72">
        <v>2.1</v>
      </c>
      <c r="G629" s="31">
        <v>6.2</v>
      </c>
      <c r="H629" s="117" t="e">
        <f>NA()</f>
        <v>#N/A</v>
      </c>
      <c r="I629" s="29"/>
      <c r="J629" s="117" t="e">
        <f>NA()</f>
        <v>#N/A</v>
      </c>
      <c r="L629" s="117" t="e">
        <f>H629-(I629+J629)</f>
        <v>#N/A</v>
      </c>
      <c r="M629" s="72" t="e">
        <f t="shared" si="11"/>
        <v>#N/A</v>
      </c>
      <c r="O629" s="117"/>
    </row>
    <row r="630" spans="1:15">
      <c r="A630" s="28" t="s">
        <v>201</v>
      </c>
      <c r="B630" s="175"/>
      <c r="C630" s="28" t="s">
        <v>202</v>
      </c>
      <c r="D630" s="108">
        <f>17.1</f>
        <v>17.100000000000001</v>
      </c>
      <c r="E630" s="73">
        <f>11.7</f>
        <v>11.7</v>
      </c>
      <c r="F630" s="72">
        <v>195.6</v>
      </c>
      <c r="G630" s="31">
        <v>57.6</v>
      </c>
      <c r="H630" s="31">
        <v>247.68</v>
      </c>
      <c r="I630" s="31">
        <v>208.12</v>
      </c>
      <c r="J630" s="31">
        <v>39.56</v>
      </c>
      <c r="K630" s="114"/>
      <c r="L630" s="72"/>
      <c r="M630" s="72">
        <f t="shared" si="11"/>
        <v>0</v>
      </c>
      <c r="O630" s="72"/>
    </row>
    <row r="631" spans="1:15">
      <c r="A631" s="28" t="s">
        <v>203</v>
      </c>
      <c r="B631" s="175"/>
      <c r="C631" s="28" t="s">
        <v>204</v>
      </c>
      <c r="D631" s="108">
        <f>3</f>
        <v>3</v>
      </c>
      <c r="E631" s="73">
        <f>2.37</f>
        <v>2.37</v>
      </c>
      <c r="F631" s="72">
        <v>8.1999999999999993</v>
      </c>
      <c r="G631" s="31">
        <v>10.74</v>
      </c>
      <c r="H631" s="31" t="e">
        <f>NA()</f>
        <v>#N/A</v>
      </c>
      <c r="I631" s="31" t="e">
        <f>NA()</f>
        <v>#N/A</v>
      </c>
      <c r="J631" s="31" t="e">
        <f>NA()</f>
        <v>#N/A</v>
      </c>
      <c r="K631" s="114" t="e">
        <f>H631-(I631+J631)</f>
        <v>#N/A</v>
      </c>
      <c r="L631" s="115"/>
      <c r="M631" s="72" t="e">
        <f t="shared" si="11"/>
        <v>#N/A</v>
      </c>
      <c r="O631" s="72"/>
    </row>
    <row r="632" spans="1:15">
      <c r="A632" s="29"/>
      <c r="B632" s="175"/>
      <c r="C632" s="28"/>
      <c r="D632" s="108"/>
      <c r="E632" s="73"/>
      <c r="F632" s="72"/>
      <c r="G632" s="31"/>
      <c r="J632" s="109"/>
      <c r="L632" s="115"/>
      <c r="M632" s="72">
        <f t="shared" si="11"/>
        <v>0</v>
      </c>
      <c r="O632" s="72"/>
    </row>
    <row r="633" spans="1:15">
      <c r="A633" s="29"/>
      <c r="B633" s="175"/>
      <c r="C633" s="28"/>
      <c r="D633" s="108"/>
      <c r="E633" s="73"/>
      <c r="G633" s="31"/>
      <c r="J633" s="109"/>
      <c r="L633" s="115"/>
      <c r="M633" s="72">
        <f t="shared" si="11"/>
        <v>0</v>
      </c>
      <c r="O633" s="72"/>
    </row>
    <row r="634" spans="1:15">
      <c r="A634" s="29"/>
      <c r="B634" s="175"/>
      <c r="C634" s="28"/>
      <c r="D634" s="108"/>
      <c r="E634" s="73"/>
      <c r="J634" s="109"/>
      <c r="L634" s="115"/>
      <c r="M634" s="72"/>
      <c r="O634" s="72"/>
    </row>
    <row r="635" spans="1:15">
      <c r="A635" s="29"/>
      <c r="B635" s="175"/>
      <c r="C635" s="28"/>
      <c r="D635" s="108"/>
      <c r="E635" s="73"/>
      <c r="F635" s="72"/>
      <c r="G635" s="31"/>
      <c r="J635" s="109"/>
      <c r="L635" s="115"/>
      <c r="M635" s="72"/>
      <c r="O635" s="72"/>
    </row>
    <row r="636" spans="1:15">
      <c r="A636" s="29"/>
      <c r="B636" s="175"/>
      <c r="C636" s="107" t="s">
        <v>205</v>
      </c>
      <c r="D636" s="108"/>
      <c r="E636" s="73"/>
      <c r="F636" s="72"/>
      <c r="G636" s="31"/>
      <c r="J636" s="109"/>
      <c r="L636" s="115"/>
      <c r="M636" s="72">
        <f t="shared" ref="M636:M647" si="13">H636-(I636+J636+K636+L636)</f>
        <v>0</v>
      </c>
      <c r="O636" s="72"/>
    </row>
    <row r="637" spans="1:15">
      <c r="A637" s="73" t="s">
        <v>206</v>
      </c>
      <c r="B637" s="175"/>
      <c r="C637" s="28" t="s">
        <v>207</v>
      </c>
      <c r="D637" s="31">
        <f>6.3</f>
        <v>6.3</v>
      </c>
      <c r="E637" s="31">
        <f>6.2</f>
        <v>6.2</v>
      </c>
      <c r="F637" s="72">
        <v>37.5</v>
      </c>
      <c r="G637" s="31">
        <v>25</v>
      </c>
      <c r="H637" s="31" t="e">
        <f>NA()</f>
        <v>#N/A</v>
      </c>
      <c r="I637" s="31" t="e">
        <f>NA()</f>
        <v>#N/A</v>
      </c>
      <c r="J637" s="31" t="e">
        <f>NA()</f>
        <v>#N/A</v>
      </c>
      <c r="K637" s="114" t="e">
        <f>H637-(I637+J637)</f>
        <v>#N/A</v>
      </c>
      <c r="L637" s="115"/>
      <c r="M637" s="72" t="e">
        <f t="shared" si="13"/>
        <v>#N/A</v>
      </c>
      <c r="O637" s="72"/>
    </row>
    <row r="638" spans="1:15">
      <c r="A638" s="73" t="s">
        <v>208</v>
      </c>
      <c r="B638" s="175"/>
      <c r="C638" s="116" t="s">
        <v>209</v>
      </c>
      <c r="D638" s="31">
        <f>6.3</f>
        <v>6.3</v>
      </c>
      <c r="E638" s="31">
        <f>6.2</f>
        <v>6.2</v>
      </c>
      <c r="F638" s="72">
        <v>30.85</v>
      </c>
      <c r="G638" s="31">
        <v>25</v>
      </c>
      <c r="H638" s="117" t="e">
        <f>NA()</f>
        <v>#N/A</v>
      </c>
      <c r="I638" s="29"/>
      <c r="J638" s="117" t="e">
        <f>NA()</f>
        <v>#N/A</v>
      </c>
      <c r="L638" s="117" t="e">
        <f>H638-(I638+J638)</f>
        <v>#N/A</v>
      </c>
      <c r="M638" s="72" t="e">
        <f t="shared" si="13"/>
        <v>#N/A</v>
      </c>
      <c r="O638" s="117"/>
    </row>
    <row r="639" spans="1:15">
      <c r="A639" s="73" t="s">
        <v>210</v>
      </c>
      <c r="B639" s="175"/>
      <c r="C639" s="116" t="s">
        <v>211</v>
      </c>
      <c r="D639" s="117">
        <f>3.2</f>
        <v>3.2</v>
      </c>
      <c r="E639" s="118">
        <f>2</f>
        <v>2</v>
      </c>
      <c r="F639" s="72">
        <v>6.4</v>
      </c>
      <c r="G639" s="31">
        <v>10.4</v>
      </c>
      <c r="H639" s="117" t="e">
        <f>NA()</f>
        <v>#N/A</v>
      </c>
      <c r="I639" s="117" t="e">
        <f>NA()</f>
        <v>#N/A</v>
      </c>
      <c r="J639" s="117" t="e">
        <f>NA()</f>
        <v>#N/A</v>
      </c>
      <c r="L639" s="117" t="e">
        <f>H639-(I639+J639)</f>
        <v>#N/A</v>
      </c>
      <c r="M639" s="72" t="e">
        <f t="shared" si="13"/>
        <v>#N/A</v>
      </c>
      <c r="O639" s="117"/>
    </row>
    <row r="640" spans="1:15">
      <c r="A640" s="73" t="s">
        <v>212</v>
      </c>
      <c r="B640" s="175"/>
      <c r="C640" s="116" t="s">
        <v>213</v>
      </c>
      <c r="D640" s="117">
        <f>4.5</f>
        <v>4.5</v>
      </c>
      <c r="E640" s="118">
        <f>2</f>
        <v>2</v>
      </c>
      <c r="F640" s="72">
        <v>9</v>
      </c>
      <c r="G640" s="31">
        <v>13</v>
      </c>
      <c r="H640" s="117" t="e">
        <f>NA()</f>
        <v>#N/A</v>
      </c>
      <c r="I640" s="117" t="e">
        <f>NA()</f>
        <v>#N/A</v>
      </c>
      <c r="J640" s="117" t="e">
        <f>NA()</f>
        <v>#N/A</v>
      </c>
      <c r="L640" s="117" t="e">
        <f>H640-(I640+J640)</f>
        <v>#N/A</v>
      </c>
      <c r="M640" s="72" t="e">
        <f t="shared" si="13"/>
        <v>#N/A</v>
      </c>
      <c r="O640" s="117"/>
    </row>
    <row r="641" spans="1:15">
      <c r="A641" s="73" t="s">
        <v>214</v>
      </c>
      <c r="B641" s="175"/>
      <c r="C641" s="116" t="s">
        <v>215</v>
      </c>
      <c r="D641" s="117">
        <f>4.5</f>
        <v>4.5</v>
      </c>
      <c r="E641" s="118">
        <f>2</f>
        <v>2</v>
      </c>
      <c r="F641" s="72">
        <v>9</v>
      </c>
      <c r="G641" s="31">
        <v>13</v>
      </c>
      <c r="H641" s="117" t="e">
        <f>NA()</f>
        <v>#N/A</v>
      </c>
      <c r="I641" s="117" t="e">
        <f>NA()</f>
        <v>#N/A</v>
      </c>
      <c r="J641" s="117"/>
      <c r="L641" s="117" t="e">
        <f>H641-(I641+J641)</f>
        <v>#N/A</v>
      </c>
      <c r="M641" s="72" t="e">
        <f t="shared" si="13"/>
        <v>#N/A</v>
      </c>
      <c r="O641" s="117"/>
    </row>
    <row r="642" spans="1:15">
      <c r="A642" s="73" t="s">
        <v>216</v>
      </c>
      <c r="B642" s="175"/>
      <c r="C642" s="28" t="s">
        <v>217</v>
      </c>
      <c r="D642" s="123">
        <f>2.775</f>
        <v>2.7749999999999999</v>
      </c>
      <c r="E642" s="73">
        <f>2</f>
        <v>2</v>
      </c>
      <c r="F642" s="72">
        <v>5.55</v>
      </c>
      <c r="G642" s="31">
        <v>9.5500000000000007</v>
      </c>
      <c r="H642" s="31" t="e">
        <f>NA()</f>
        <v>#N/A</v>
      </c>
      <c r="J642" s="31" t="e">
        <f>NA()</f>
        <v>#N/A</v>
      </c>
      <c r="K642" s="114" t="e">
        <f>H642-(I642+J642)</f>
        <v>#N/A</v>
      </c>
      <c r="L642" s="72"/>
      <c r="M642" s="72" t="e">
        <f t="shared" si="13"/>
        <v>#N/A</v>
      </c>
      <c r="O642" s="72"/>
    </row>
    <row r="643" spans="1:15">
      <c r="A643" s="73" t="s">
        <v>218</v>
      </c>
      <c r="B643" s="175"/>
      <c r="C643" s="28" t="s">
        <v>219</v>
      </c>
      <c r="D643" s="31">
        <f>3.2</f>
        <v>3.2</v>
      </c>
      <c r="E643" s="73">
        <f>2</f>
        <v>2</v>
      </c>
      <c r="F643" s="72">
        <v>6</v>
      </c>
      <c r="G643" s="31">
        <v>10.4</v>
      </c>
      <c r="H643" s="31" t="e">
        <f>NA()</f>
        <v>#N/A</v>
      </c>
      <c r="I643" s="31" t="e">
        <f>NA()</f>
        <v>#N/A</v>
      </c>
      <c r="J643" s="31" t="e">
        <f>NA()</f>
        <v>#N/A</v>
      </c>
      <c r="K643" s="114" t="e">
        <f>H643-(I643+J643)</f>
        <v>#N/A</v>
      </c>
      <c r="L643" s="72"/>
      <c r="M643" s="72" t="e">
        <f t="shared" si="13"/>
        <v>#N/A</v>
      </c>
      <c r="O643" s="72"/>
    </row>
    <row r="644" spans="1:15">
      <c r="A644" s="73" t="s">
        <v>220</v>
      </c>
      <c r="C644" s="116" t="s">
        <v>180</v>
      </c>
      <c r="D644" s="117">
        <f>1.7</f>
        <v>1.7</v>
      </c>
      <c r="E644" s="118">
        <f>1.2</f>
        <v>1.2</v>
      </c>
      <c r="F644" s="72">
        <v>2</v>
      </c>
      <c r="G644" s="31">
        <v>5.8</v>
      </c>
      <c r="H644" s="117" t="e">
        <f>NA()</f>
        <v>#N/A</v>
      </c>
      <c r="I644" s="117" t="e">
        <f>NA()</f>
        <v>#N/A</v>
      </c>
      <c r="J644" s="117" t="e">
        <f>NA()</f>
        <v>#N/A</v>
      </c>
      <c r="L644" s="117" t="e">
        <f>H644-(I644+J644)</f>
        <v>#N/A</v>
      </c>
      <c r="M644" s="72" t="e">
        <f t="shared" si="13"/>
        <v>#N/A</v>
      </c>
      <c r="O644" s="117"/>
    </row>
    <row r="645" spans="1:15">
      <c r="A645" s="73" t="s">
        <v>221</v>
      </c>
      <c r="B645" s="175"/>
      <c r="C645" s="116" t="s">
        <v>132</v>
      </c>
      <c r="D645" s="117">
        <f>1.45</f>
        <v>1.45</v>
      </c>
      <c r="E645" s="118">
        <f>0.9</f>
        <v>0.9</v>
      </c>
      <c r="F645" s="72">
        <v>1.3</v>
      </c>
      <c r="G645" s="31">
        <v>4.7</v>
      </c>
      <c r="H645" s="117" t="e">
        <f>NA()</f>
        <v>#N/A</v>
      </c>
      <c r="I645" s="29"/>
      <c r="J645" s="117"/>
      <c r="L645" s="117" t="e">
        <f>H645-(I645+J645)</f>
        <v>#N/A</v>
      </c>
      <c r="M645" s="72" t="e">
        <f t="shared" si="13"/>
        <v>#N/A</v>
      </c>
      <c r="O645" s="117"/>
    </row>
    <row r="646" spans="1:15">
      <c r="A646" s="73" t="s">
        <v>222</v>
      </c>
      <c r="B646" s="175"/>
      <c r="C646" s="28" t="s">
        <v>126</v>
      </c>
      <c r="D646" s="31">
        <f>F646/E646</f>
        <v>8.4057971014492754</v>
      </c>
      <c r="E646" s="124">
        <f>1.725</f>
        <v>1.7250000000000001</v>
      </c>
      <c r="F646" s="72">
        <v>14.5</v>
      </c>
      <c r="G646" s="31">
        <v>20.26159420289855</v>
      </c>
      <c r="H646" s="31" t="e">
        <f>NA()</f>
        <v>#N/A</v>
      </c>
      <c r="J646" s="31" t="e">
        <f>NA()</f>
        <v>#N/A</v>
      </c>
      <c r="K646" s="114" t="e">
        <f>H646-(I646+J646)</f>
        <v>#N/A</v>
      </c>
      <c r="L646" s="72"/>
      <c r="M646" s="72" t="e">
        <f t="shared" si="13"/>
        <v>#N/A</v>
      </c>
      <c r="O646" s="72"/>
    </row>
    <row r="647" spans="1:15">
      <c r="A647" s="73" t="s">
        <v>223</v>
      </c>
      <c r="B647" s="175"/>
      <c r="C647" s="28" t="s">
        <v>118</v>
      </c>
      <c r="D647" s="31">
        <f>2</f>
        <v>2</v>
      </c>
      <c r="E647" s="73">
        <f>1.55</f>
        <v>1.55</v>
      </c>
      <c r="F647" s="72">
        <v>3.45</v>
      </c>
      <c r="G647" s="31">
        <v>7.1</v>
      </c>
      <c r="H647" s="31" t="e">
        <f>NA()</f>
        <v>#N/A</v>
      </c>
      <c r="I647" s="29" t="e">
        <f>NA()</f>
        <v>#N/A</v>
      </c>
      <c r="J647" s="31" t="e">
        <f>NA()</f>
        <v>#N/A</v>
      </c>
      <c r="K647" s="114" t="e">
        <f>H647-(I647+J647+L647)</f>
        <v>#N/A</v>
      </c>
      <c r="L647" s="117" t="e">
        <f>(D647+E647)*#REF!</f>
        <v>#REF!</v>
      </c>
      <c r="M647" s="72" t="e">
        <f t="shared" si="13"/>
        <v>#N/A</v>
      </c>
      <c r="O647" s="117"/>
    </row>
    <row r="648" spans="1:15">
      <c r="A648" s="73"/>
      <c r="B648" s="175"/>
      <c r="C648" s="28"/>
      <c r="D648" s="31"/>
      <c r="E648" s="73"/>
      <c r="F648" s="72"/>
      <c r="G648" s="31"/>
      <c r="I648" s="29"/>
      <c r="J648" s="31"/>
      <c r="K648" s="114"/>
      <c r="L648" s="117"/>
      <c r="M648" s="72"/>
      <c r="O648" s="117"/>
    </row>
    <row r="649" spans="1:15">
      <c r="A649" s="73"/>
      <c r="B649" s="175"/>
      <c r="C649" s="28"/>
      <c r="D649" s="31"/>
      <c r="E649" s="73"/>
      <c r="F649" s="72"/>
      <c r="G649" s="31"/>
      <c r="I649" s="29"/>
      <c r="J649" s="31"/>
      <c r="K649" s="114"/>
      <c r="L649" s="117"/>
      <c r="M649" s="72"/>
      <c r="O649" s="117"/>
    </row>
    <row r="650" spans="1:15">
      <c r="A650" s="73"/>
      <c r="B650" s="175"/>
      <c r="C650" s="28"/>
      <c r="D650" s="31"/>
      <c r="E650" s="73"/>
      <c r="F650" s="72"/>
      <c r="G650" s="31"/>
      <c r="I650" s="29"/>
      <c r="J650" s="31"/>
      <c r="K650" s="114"/>
      <c r="L650" s="117"/>
      <c r="M650" s="72"/>
      <c r="O650" s="117"/>
    </row>
    <row r="651" spans="1:15">
      <c r="A651" s="73"/>
      <c r="B651" s="175"/>
      <c r="C651" s="28"/>
      <c r="D651" s="31"/>
      <c r="E651" s="73"/>
      <c r="F651" s="72"/>
      <c r="G651" s="31"/>
      <c r="I651" s="29"/>
      <c r="J651" s="31"/>
      <c r="K651" s="114"/>
      <c r="L651" s="117"/>
      <c r="M651" s="72"/>
      <c r="O651" s="117"/>
    </row>
    <row r="652" spans="1:15">
      <c r="A652" s="73"/>
      <c r="C652" s="28"/>
      <c r="D652" s="31"/>
      <c r="E652" s="73"/>
      <c r="F652" s="72"/>
      <c r="G652" s="31"/>
      <c r="I652" s="29"/>
      <c r="J652" s="31"/>
      <c r="K652" s="114"/>
      <c r="L652" s="117"/>
      <c r="M652" s="72"/>
      <c r="O652" s="117"/>
    </row>
    <row r="653" spans="1:15">
      <c r="A653" s="73"/>
      <c r="C653" s="28"/>
      <c r="D653" s="31"/>
      <c r="E653" s="73"/>
      <c r="F653" s="72"/>
      <c r="G653" s="31"/>
      <c r="I653" s="29"/>
      <c r="J653" s="31"/>
      <c r="K653" s="114"/>
      <c r="L653" s="117"/>
      <c r="M653" s="72"/>
      <c r="O653" s="117"/>
    </row>
    <row r="654" spans="1:15">
      <c r="A654" s="73"/>
      <c r="C654" s="28"/>
      <c r="D654" s="31"/>
      <c r="E654" s="73"/>
      <c r="F654" s="72"/>
      <c r="I654" s="29"/>
      <c r="J654" s="31"/>
      <c r="K654" s="114"/>
      <c r="L654" s="117"/>
      <c r="M654" s="72"/>
      <c r="O654" s="117"/>
    </row>
    <row r="655" spans="1:15">
      <c r="A655" s="73"/>
      <c r="C655" s="28"/>
      <c r="D655" s="31"/>
      <c r="E655" s="73"/>
      <c r="F655" s="72"/>
      <c r="G655" s="31"/>
      <c r="I655" s="29"/>
      <c r="J655" s="31"/>
      <c r="K655" s="114"/>
      <c r="L655" s="117"/>
      <c r="M655" s="72"/>
      <c r="O655" s="117"/>
    </row>
    <row r="656" spans="1:15">
      <c r="A656" s="29"/>
      <c r="C656" s="107" t="s">
        <v>224</v>
      </c>
      <c r="D656" s="117"/>
      <c r="E656" s="118"/>
      <c r="F656" s="72"/>
      <c r="G656" s="31"/>
      <c r="H656" s="117"/>
      <c r="I656" s="29"/>
      <c r="J656" s="117"/>
      <c r="L656" s="117"/>
      <c r="M656" s="72">
        <f t="shared" ref="M656:M686" si="14">H656-(I656+J656+K656+L656)</f>
        <v>0</v>
      </c>
      <c r="O656" s="117"/>
    </row>
    <row r="657" spans="1:15">
      <c r="A657" s="28" t="s">
        <v>225</v>
      </c>
      <c r="C657" s="28" t="s">
        <v>226</v>
      </c>
      <c r="D657" s="31">
        <f>6.2</f>
        <v>6.2</v>
      </c>
      <c r="E657" s="73">
        <f>4.5</f>
        <v>4.5</v>
      </c>
      <c r="F657" s="72">
        <v>28.4</v>
      </c>
      <c r="G657" s="31">
        <v>21.4</v>
      </c>
      <c r="H657" s="31" t="e">
        <f>NA()</f>
        <v>#N/A</v>
      </c>
      <c r="I657" s="31" t="e">
        <f>NA()</f>
        <v>#N/A</v>
      </c>
      <c r="J657" s="31" t="e">
        <f>NA()</f>
        <v>#N/A</v>
      </c>
      <c r="K657" s="114" t="e">
        <f>H657-(I657+J657)</f>
        <v>#N/A</v>
      </c>
      <c r="L657" s="72"/>
      <c r="M657" s="72" t="e">
        <f t="shared" si="14"/>
        <v>#N/A</v>
      </c>
      <c r="O657" s="72"/>
    </row>
    <row r="658" spans="1:15">
      <c r="A658" s="28" t="s">
        <v>227</v>
      </c>
      <c r="C658" s="28" t="s">
        <v>228</v>
      </c>
      <c r="D658" s="73">
        <f>4.5</f>
        <v>4.5</v>
      </c>
      <c r="E658" s="73">
        <f>2.7</f>
        <v>2.7</v>
      </c>
      <c r="F658" s="72">
        <v>12.15</v>
      </c>
      <c r="G658" s="31">
        <v>14.4</v>
      </c>
      <c r="H658" s="31" t="e">
        <f>NA()</f>
        <v>#N/A</v>
      </c>
      <c r="I658" s="31" t="e">
        <f>NA()</f>
        <v>#N/A</v>
      </c>
      <c r="J658" s="31" t="e">
        <f>NA()</f>
        <v>#N/A</v>
      </c>
      <c r="K658" s="114" t="e">
        <f>H658-(I658+J658)</f>
        <v>#N/A</v>
      </c>
      <c r="L658" s="72"/>
      <c r="M658" s="72" t="e">
        <f t="shared" si="14"/>
        <v>#N/A</v>
      </c>
      <c r="O658" s="72"/>
    </row>
    <row r="659" spans="1:15">
      <c r="A659" s="28" t="s">
        <v>229</v>
      </c>
      <c r="C659" s="28" t="s">
        <v>230</v>
      </c>
      <c r="D659" s="31">
        <f>4</f>
        <v>4</v>
      </c>
      <c r="E659" s="73">
        <f>1.4</f>
        <v>1.4</v>
      </c>
      <c r="F659" s="72">
        <v>5.55</v>
      </c>
      <c r="G659" s="31">
        <v>10.8</v>
      </c>
      <c r="H659" s="31" t="e">
        <f>NA()</f>
        <v>#N/A</v>
      </c>
      <c r="J659" s="31" t="e">
        <f>NA()</f>
        <v>#N/A</v>
      </c>
      <c r="K659" s="114" t="e">
        <f>H659-(I659+J659)</f>
        <v>#N/A</v>
      </c>
      <c r="M659" s="72" t="e">
        <f t="shared" si="14"/>
        <v>#N/A</v>
      </c>
    </row>
    <row r="660" spans="1:15">
      <c r="A660" s="28" t="s">
        <v>231</v>
      </c>
      <c r="C660" s="116" t="s">
        <v>180</v>
      </c>
      <c r="D660" s="117">
        <f>1.8</f>
        <v>1.8</v>
      </c>
      <c r="E660" s="118">
        <f>1.4</f>
        <v>1.4</v>
      </c>
      <c r="F660" s="72">
        <v>2.5</v>
      </c>
      <c r="G660" s="31">
        <v>6.4</v>
      </c>
      <c r="H660" s="117" t="e">
        <f>NA()</f>
        <v>#N/A</v>
      </c>
      <c r="I660" s="29"/>
      <c r="J660" s="117" t="e">
        <f>NA()</f>
        <v>#N/A</v>
      </c>
      <c r="L660" s="117" t="e">
        <f>H660-(I660+J660)</f>
        <v>#N/A</v>
      </c>
      <c r="M660" s="72" t="e">
        <f t="shared" si="14"/>
        <v>#N/A</v>
      </c>
      <c r="O660" s="117"/>
    </row>
    <row r="661" spans="1:15">
      <c r="A661" s="28" t="s">
        <v>232</v>
      </c>
      <c r="C661" s="116" t="s">
        <v>132</v>
      </c>
      <c r="D661" s="117">
        <f>1.65</f>
        <v>1.65</v>
      </c>
      <c r="E661" s="118">
        <f>1.4</f>
        <v>1.4</v>
      </c>
      <c r="F661" s="72">
        <v>2.2999999999999998</v>
      </c>
      <c r="G661" s="31">
        <v>6.1</v>
      </c>
      <c r="H661" s="117" t="e">
        <f>NA()</f>
        <v>#N/A</v>
      </c>
      <c r="I661" s="29"/>
      <c r="J661" s="117" t="e">
        <f>NA()</f>
        <v>#N/A</v>
      </c>
      <c r="L661" s="117" t="e">
        <f>H661-(I661+J661)</f>
        <v>#N/A</v>
      </c>
      <c r="M661" s="72" t="e">
        <f t="shared" si="14"/>
        <v>#N/A</v>
      </c>
      <c r="O661" s="117"/>
    </row>
    <row r="662" spans="1:15">
      <c r="A662" s="28" t="s">
        <v>233</v>
      </c>
      <c r="C662" s="116" t="s">
        <v>234</v>
      </c>
      <c r="D662" s="117">
        <f>6.2</f>
        <v>6.2</v>
      </c>
      <c r="E662" s="118">
        <f>4.5</f>
        <v>4.5</v>
      </c>
      <c r="F662" s="72">
        <v>23.95</v>
      </c>
      <c r="G662" s="31">
        <v>21.4</v>
      </c>
      <c r="H662" s="117" t="e">
        <f>NA()</f>
        <v>#N/A</v>
      </c>
      <c r="I662" s="117" t="e">
        <f>NA()</f>
        <v>#N/A</v>
      </c>
      <c r="J662" s="117" t="e">
        <f>NA()</f>
        <v>#N/A</v>
      </c>
      <c r="L662" s="117" t="e">
        <f>H662-(I662+J662)</f>
        <v>#N/A</v>
      </c>
      <c r="M662" s="72" t="e">
        <f t="shared" si="14"/>
        <v>#N/A</v>
      </c>
      <c r="O662" s="117"/>
    </row>
    <row r="663" spans="1:15">
      <c r="A663" s="28" t="s">
        <v>235</v>
      </c>
      <c r="B663" s="175"/>
      <c r="C663" s="116" t="s">
        <v>236</v>
      </c>
      <c r="D663" s="117">
        <f>2.2</f>
        <v>2.2000000000000002</v>
      </c>
      <c r="E663" s="118">
        <f>1.9</f>
        <v>1.9</v>
      </c>
      <c r="F663" s="72">
        <v>4.2</v>
      </c>
      <c r="G663" s="31">
        <v>8.1999999999999993</v>
      </c>
      <c r="H663" s="117" t="e">
        <f>NA()</f>
        <v>#N/A</v>
      </c>
      <c r="I663" s="29"/>
      <c r="J663" s="117" t="e">
        <f>NA()</f>
        <v>#N/A</v>
      </c>
      <c r="L663" s="117" t="e">
        <f>H663-(I663+J663)</f>
        <v>#N/A</v>
      </c>
      <c r="M663" s="72" t="e">
        <f t="shared" si="14"/>
        <v>#N/A</v>
      </c>
      <c r="O663" s="117"/>
    </row>
    <row r="664" spans="1:15">
      <c r="A664" s="28" t="s">
        <v>237</v>
      </c>
      <c r="C664" s="28" t="s">
        <v>238</v>
      </c>
      <c r="D664" s="31">
        <f>6.2</f>
        <v>6.2</v>
      </c>
      <c r="E664" s="124">
        <f>2.875</f>
        <v>2.875</v>
      </c>
      <c r="F664" s="72">
        <v>13.2</v>
      </c>
      <c r="G664" s="31">
        <v>18.149999999999999</v>
      </c>
      <c r="H664" s="31" t="e">
        <f>NA()</f>
        <v>#N/A</v>
      </c>
      <c r="I664" s="31" t="e">
        <f>NA()</f>
        <v>#N/A</v>
      </c>
      <c r="J664" s="31" t="e">
        <f>NA()</f>
        <v>#N/A</v>
      </c>
      <c r="K664" s="114"/>
      <c r="M664" s="72" t="e">
        <f t="shared" si="14"/>
        <v>#N/A</v>
      </c>
    </row>
    <row r="665" spans="1:15">
      <c r="A665" s="28" t="s">
        <v>239</v>
      </c>
      <c r="C665" s="116" t="s">
        <v>180</v>
      </c>
      <c r="D665" s="117">
        <f>1.7</f>
        <v>1.7</v>
      </c>
      <c r="E665" s="118">
        <f>1.4</f>
        <v>1.4</v>
      </c>
      <c r="F665" s="72">
        <v>2.4</v>
      </c>
      <c r="G665" s="31">
        <v>6.2</v>
      </c>
      <c r="H665" s="117" t="e">
        <f>NA()</f>
        <v>#N/A</v>
      </c>
      <c r="I665" s="29"/>
      <c r="J665" s="117" t="e">
        <f>NA()</f>
        <v>#N/A</v>
      </c>
      <c r="L665" s="117" t="e">
        <f>H665-(I665+J665)</f>
        <v>#N/A</v>
      </c>
      <c r="M665" s="72" t="e">
        <f t="shared" si="14"/>
        <v>#N/A</v>
      </c>
      <c r="O665" s="117"/>
    </row>
    <row r="666" spans="1:15">
      <c r="A666" s="28" t="s">
        <v>240</v>
      </c>
      <c r="C666" s="116" t="s">
        <v>132</v>
      </c>
      <c r="D666" s="117">
        <f>1.45</f>
        <v>1.45</v>
      </c>
      <c r="E666" s="118">
        <f>1.4</f>
        <v>1.4</v>
      </c>
      <c r="F666" s="72">
        <v>2</v>
      </c>
      <c r="G666" s="31">
        <v>5.7</v>
      </c>
      <c r="H666" s="117" t="e">
        <f>NA()</f>
        <v>#N/A</v>
      </c>
      <c r="I666" s="29"/>
      <c r="J666" s="117" t="e">
        <f>NA()</f>
        <v>#N/A</v>
      </c>
      <c r="L666" s="117" t="e">
        <f>H666-(I666+J666)</f>
        <v>#N/A</v>
      </c>
      <c r="M666" s="72" t="e">
        <f t="shared" si="14"/>
        <v>#N/A</v>
      </c>
      <c r="O666" s="117"/>
    </row>
    <row r="667" spans="1:15">
      <c r="A667" s="28" t="s">
        <v>241</v>
      </c>
      <c r="C667" s="28" t="s">
        <v>165</v>
      </c>
      <c r="D667" s="123">
        <f>2.775</f>
        <v>2.7749999999999999</v>
      </c>
      <c r="E667" s="73">
        <f>0.85</f>
        <v>0.85</v>
      </c>
      <c r="F667" s="72">
        <v>2.35</v>
      </c>
      <c r="G667" s="31">
        <v>7.25</v>
      </c>
      <c r="H667" s="31" t="e">
        <f>NA()</f>
        <v>#N/A</v>
      </c>
      <c r="J667" s="31" t="e">
        <f>NA()</f>
        <v>#N/A</v>
      </c>
      <c r="K667" s="114" t="e">
        <f>H667-(I667+J667)</f>
        <v>#N/A</v>
      </c>
      <c r="L667" s="115"/>
      <c r="M667" s="72" t="e">
        <f t="shared" si="14"/>
        <v>#N/A</v>
      </c>
      <c r="O667" s="72"/>
    </row>
    <row r="668" spans="1:15">
      <c r="A668" s="28" t="s">
        <v>242</v>
      </c>
      <c r="C668" s="28" t="s">
        <v>243</v>
      </c>
      <c r="D668" s="31">
        <f>3.05</f>
        <v>3.05</v>
      </c>
      <c r="E668" s="73">
        <f>3</f>
        <v>3</v>
      </c>
      <c r="F668" s="72">
        <v>9.1</v>
      </c>
      <c r="G668" s="31">
        <v>12.1</v>
      </c>
      <c r="H668" s="31" t="e">
        <f>NA()</f>
        <v>#N/A</v>
      </c>
      <c r="J668" s="31" t="e">
        <f>NA()</f>
        <v>#N/A</v>
      </c>
      <c r="K668" s="114" t="e">
        <f>H668-(I668+J668)</f>
        <v>#N/A</v>
      </c>
      <c r="L668" s="115"/>
      <c r="M668" s="72" t="e">
        <f t="shared" si="14"/>
        <v>#N/A</v>
      </c>
    </row>
    <row r="669" spans="1:15">
      <c r="A669" s="29"/>
      <c r="D669" s="29"/>
      <c r="E669" s="29"/>
      <c r="H669" s="29"/>
      <c r="I669" s="29"/>
      <c r="M669" s="72">
        <f t="shared" si="14"/>
        <v>0</v>
      </c>
    </row>
    <row r="670" spans="1:15">
      <c r="A670" s="29"/>
      <c r="D670" s="29"/>
      <c r="E670" s="29"/>
      <c r="H670" s="29"/>
      <c r="I670" s="29"/>
      <c r="M670" s="72">
        <f t="shared" si="14"/>
        <v>0</v>
      </c>
    </row>
    <row r="671" spans="1:15">
      <c r="A671" s="29"/>
      <c r="D671" s="29"/>
      <c r="E671" s="29"/>
      <c r="H671" s="29"/>
      <c r="I671" s="29"/>
      <c r="M671" s="72">
        <f t="shared" si="14"/>
        <v>0</v>
      </c>
    </row>
    <row r="672" spans="1:15">
      <c r="A672" s="29"/>
      <c r="D672" s="29"/>
      <c r="E672" s="29"/>
      <c r="H672" s="29"/>
      <c r="I672" s="29"/>
      <c r="M672" s="72">
        <f t="shared" si="14"/>
        <v>0</v>
      </c>
    </row>
    <row r="673" spans="1:16">
      <c r="A673" s="29"/>
      <c r="D673" s="29"/>
      <c r="E673" s="29"/>
      <c r="H673" s="29"/>
      <c r="I673" s="29"/>
      <c r="M673" s="72">
        <f t="shared" si="14"/>
        <v>0</v>
      </c>
    </row>
    <row r="674" spans="1:16">
      <c r="A674" s="29"/>
      <c r="B674" s="175"/>
      <c r="D674" s="29"/>
      <c r="H674" s="29"/>
      <c r="I674" s="29"/>
      <c r="M674" s="72">
        <f t="shared" si="14"/>
        <v>0</v>
      </c>
    </row>
    <row r="675" spans="1:16">
      <c r="A675" s="29"/>
      <c r="D675" s="29"/>
      <c r="E675" s="29"/>
      <c r="H675" s="29"/>
      <c r="I675" s="29"/>
      <c r="M675" s="72">
        <f t="shared" si="14"/>
        <v>0</v>
      </c>
    </row>
    <row r="676" spans="1:16">
      <c r="A676" s="29"/>
      <c r="C676" s="107" t="s">
        <v>244</v>
      </c>
      <c r="G676" s="31"/>
      <c r="I676" s="29"/>
      <c r="M676" s="72">
        <f t="shared" si="14"/>
        <v>0</v>
      </c>
    </row>
    <row r="677" spans="1:16">
      <c r="A677" s="29">
        <f>1</f>
        <v>1</v>
      </c>
      <c r="C677" s="28" t="s">
        <v>245</v>
      </c>
      <c r="D677" s="31">
        <f>6</f>
        <v>6</v>
      </c>
      <c r="E677" s="73">
        <f>3.6</f>
        <v>3.6</v>
      </c>
      <c r="F677" s="72">
        <v>21.6</v>
      </c>
      <c r="G677" s="31">
        <v>19.2</v>
      </c>
      <c r="H677" s="31" t="e">
        <f>NA()</f>
        <v>#N/A</v>
      </c>
      <c r="I677" s="31" t="e">
        <f>NA()</f>
        <v>#N/A</v>
      </c>
      <c r="J677" s="31" t="e">
        <f>NA()</f>
        <v>#N/A</v>
      </c>
      <c r="L677" s="115"/>
      <c r="M677" s="72" t="e">
        <f t="shared" si="14"/>
        <v>#N/A</v>
      </c>
      <c r="O677" s="117"/>
    </row>
    <row r="678" spans="1:16">
      <c r="A678" s="29">
        <f t="shared" ref="A678:A684" si="15">1+A677</f>
        <v>2</v>
      </c>
      <c r="B678" s="175"/>
      <c r="C678" s="28" t="s">
        <v>118</v>
      </c>
      <c r="D678" s="31">
        <f>4.2</f>
        <v>4.2</v>
      </c>
      <c r="E678" s="73">
        <f>1.8</f>
        <v>1.8</v>
      </c>
      <c r="F678" s="72">
        <v>7.6</v>
      </c>
      <c r="G678" s="31">
        <v>12</v>
      </c>
      <c r="H678" s="31" t="e">
        <f>NA()</f>
        <v>#N/A</v>
      </c>
      <c r="I678" s="31" t="e">
        <f>NA()</f>
        <v>#N/A</v>
      </c>
      <c r="J678" s="31" t="e">
        <f>NA()</f>
        <v>#N/A</v>
      </c>
      <c r="K678" s="114" t="e">
        <f>H678-(I678+J678)</f>
        <v>#N/A</v>
      </c>
      <c r="L678" s="115"/>
      <c r="M678" s="72" t="e">
        <f t="shared" si="14"/>
        <v>#N/A</v>
      </c>
      <c r="O678" s="117"/>
    </row>
    <row r="679" spans="1:16">
      <c r="A679" s="29">
        <f t="shared" si="15"/>
        <v>3</v>
      </c>
      <c r="C679" s="116" t="s">
        <v>246</v>
      </c>
      <c r="D679" s="117">
        <f>5.9</f>
        <v>5.9</v>
      </c>
      <c r="E679" s="118">
        <f>3</f>
        <v>3</v>
      </c>
      <c r="F679" s="72">
        <v>17.899999999999999</v>
      </c>
      <c r="G679" s="31">
        <v>17.8</v>
      </c>
      <c r="H679" s="117" t="e">
        <f>NA()</f>
        <v>#N/A</v>
      </c>
      <c r="I679" s="117" t="e">
        <f>NA()</f>
        <v>#N/A</v>
      </c>
      <c r="J679" s="117" t="e">
        <f>NA()</f>
        <v>#N/A</v>
      </c>
      <c r="L679" s="117" t="e">
        <f>H679-(I679+J679)</f>
        <v>#N/A</v>
      </c>
      <c r="M679" s="72" t="e">
        <f t="shared" si="14"/>
        <v>#N/A</v>
      </c>
      <c r="O679" s="117"/>
    </row>
    <row r="680" spans="1:16">
      <c r="A680" s="29">
        <f t="shared" si="15"/>
        <v>4</v>
      </c>
      <c r="C680" s="116" t="s">
        <v>246</v>
      </c>
      <c r="D680" s="117">
        <f>4.2</f>
        <v>4.2</v>
      </c>
      <c r="E680" s="118">
        <f>4</f>
        <v>4</v>
      </c>
      <c r="F680" s="72">
        <v>16.3</v>
      </c>
      <c r="G680" s="31">
        <v>16.399999999999999</v>
      </c>
      <c r="H680" s="117" t="e">
        <f>NA()</f>
        <v>#N/A</v>
      </c>
      <c r="I680" s="117" t="e">
        <f>NA()</f>
        <v>#N/A</v>
      </c>
      <c r="J680" s="117"/>
      <c r="L680" s="117" t="e">
        <f>H680-(I680+J680)</f>
        <v>#N/A</v>
      </c>
      <c r="M680" s="72" t="e">
        <f t="shared" si="14"/>
        <v>#N/A</v>
      </c>
      <c r="O680" s="117"/>
    </row>
    <row r="681" spans="1:16">
      <c r="A681" s="29">
        <f t="shared" si="15"/>
        <v>5</v>
      </c>
      <c r="C681" s="28" t="s">
        <v>247</v>
      </c>
      <c r="D681" s="31">
        <f>4</f>
        <v>4</v>
      </c>
      <c r="E681" s="31">
        <f>3.65</f>
        <v>3.65</v>
      </c>
      <c r="F681" s="72">
        <v>14.6</v>
      </c>
      <c r="G681" s="31">
        <v>15.3</v>
      </c>
      <c r="H681" s="31" t="e">
        <f>NA()</f>
        <v>#N/A</v>
      </c>
      <c r="I681" s="31" t="e">
        <f>NA()</f>
        <v>#N/A</v>
      </c>
      <c r="J681" s="117"/>
      <c r="K681" s="114" t="e">
        <f>H681-(I681+J681)</f>
        <v>#N/A</v>
      </c>
      <c r="L681" s="115"/>
      <c r="M681" s="72" t="e">
        <f t="shared" si="14"/>
        <v>#N/A</v>
      </c>
      <c r="O681" s="117"/>
    </row>
    <row r="682" spans="1:16">
      <c r="A682" s="29">
        <f t="shared" si="15"/>
        <v>6</v>
      </c>
      <c r="C682" s="28" t="s">
        <v>248</v>
      </c>
      <c r="D682" s="31">
        <f>4</f>
        <v>4</v>
      </c>
      <c r="E682" s="124">
        <f>2.475</f>
        <v>2.4750000000000001</v>
      </c>
      <c r="F682" s="72">
        <v>9.9</v>
      </c>
      <c r="G682" s="31">
        <v>12.95</v>
      </c>
      <c r="H682" s="31" t="e">
        <f>NA()</f>
        <v>#N/A</v>
      </c>
      <c r="I682" s="31" t="e">
        <f>NA()</f>
        <v>#N/A</v>
      </c>
      <c r="J682" s="109"/>
      <c r="K682" s="114" t="e">
        <f>H682-(I682+J682)</f>
        <v>#N/A</v>
      </c>
      <c r="L682" s="115"/>
      <c r="M682" s="72" t="e">
        <f t="shared" si="14"/>
        <v>#N/A</v>
      </c>
      <c r="O682" s="72"/>
    </row>
    <row r="683" spans="1:16">
      <c r="A683" s="29">
        <f t="shared" si="15"/>
        <v>7</v>
      </c>
      <c r="C683" s="116" t="s">
        <v>249</v>
      </c>
      <c r="D683" s="117">
        <f>6.1</f>
        <v>6.1</v>
      </c>
      <c r="E683" s="118">
        <f>4</f>
        <v>4</v>
      </c>
      <c r="F683" s="72">
        <v>24</v>
      </c>
      <c r="G683" s="31">
        <v>20.2</v>
      </c>
      <c r="H683" s="117" t="e">
        <f>NA()</f>
        <v>#N/A</v>
      </c>
      <c r="I683" s="117" t="e">
        <f>NA()</f>
        <v>#N/A</v>
      </c>
      <c r="J683" s="117" t="e">
        <f>NA()</f>
        <v>#N/A</v>
      </c>
      <c r="L683" s="117" t="e">
        <f>H683-(I683+J683)</f>
        <v>#N/A</v>
      </c>
      <c r="M683" s="72" t="e">
        <f t="shared" si="14"/>
        <v>#N/A</v>
      </c>
      <c r="O683" s="117"/>
    </row>
    <row r="684" spans="1:16">
      <c r="A684" s="29">
        <f t="shared" si="15"/>
        <v>8</v>
      </c>
      <c r="C684" s="116" t="s">
        <v>250</v>
      </c>
      <c r="D684" s="117">
        <f>6.1</f>
        <v>6.1</v>
      </c>
      <c r="E684" s="122">
        <f>3.075</f>
        <v>3.0750000000000002</v>
      </c>
      <c r="F684" s="72">
        <v>18.45</v>
      </c>
      <c r="G684" s="31">
        <v>18.350000000000001</v>
      </c>
      <c r="H684" s="117" t="e">
        <f>NA()</f>
        <v>#N/A</v>
      </c>
      <c r="I684" s="117" t="e">
        <f>NA()</f>
        <v>#N/A</v>
      </c>
      <c r="J684" s="117" t="e">
        <f>NA()</f>
        <v>#N/A</v>
      </c>
      <c r="L684" s="117" t="e">
        <f>H684-(I684+J684)</f>
        <v>#N/A</v>
      </c>
      <c r="M684" s="72" t="e">
        <f t="shared" si="14"/>
        <v>#N/A</v>
      </c>
      <c r="O684" s="117"/>
    </row>
    <row r="685" spans="1:16">
      <c r="G685" s="31"/>
      <c r="I685" s="29"/>
      <c r="M685" s="72">
        <f t="shared" si="14"/>
        <v>0</v>
      </c>
    </row>
    <row r="686" spans="1:16">
      <c r="A686" s="31">
        <f>2*(D686+E686)+(D687*2+E687)+2*(D688+E688)</f>
        <v>286.7</v>
      </c>
      <c r="C686" s="28" t="e">
        <f>#REF!</f>
        <v>#REF!</v>
      </c>
      <c r="D686" s="125">
        <f>65.9</f>
        <v>65.900000000000006</v>
      </c>
      <c r="E686" s="72">
        <f>15.55</f>
        <v>15.55</v>
      </c>
      <c r="F686" s="72">
        <v>1259.3499999999999</v>
      </c>
      <c r="G686" s="72">
        <v>1224.1412767425811</v>
      </c>
      <c r="H686" s="72" t="e">
        <f>NA()</f>
        <v>#N/A</v>
      </c>
      <c r="I686" s="126" t="e">
        <f>NA()</f>
        <v>#N/A</v>
      </c>
      <c r="J686" s="127" t="e">
        <f>NA()</f>
        <v>#N/A</v>
      </c>
      <c r="K686" s="128" t="e">
        <f>SUM(K568:K684)</f>
        <v>#N/A</v>
      </c>
      <c r="L686" s="106" t="e">
        <f>SUM(L568:L684)</f>
        <v>#N/A</v>
      </c>
      <c r="M686" s="72" t="e">
        <f t="shared" si="14"/>
        <v>#N/A</v>
      </c>
      <c r="O686" s="117"/>
      <c r="P686" s="117"/>
    </row>
    <row r="687" spans="1:16">
      <c r="A687" s="31"/>
      <c r="C687" s="129"/>
      <c r="D687" s="125">
        <f>25</f>
        <v>25</v>
      </c>
      <c r="E687" s="73">
        <f>12</f>
        <v>12</v>
      </c>
      <c r="F687" s="31">
        <v>1474.9449999999999</v>
      </c>
      <c r="G687" s="81"/>
      <c r="H687" s="81" t="e">
        <f>NA()</f>
        <v>#N/A</v>
      </c>
      <c r="I687" s="81"/>
      <c r="J687" s="108"/>
      <c r="K687" s="109">
        <f>18*(7+7)+8*(4.5+4.5)+(9+9)*70+10*1</f>
        <v>1594</v>
      </c>
      <c r="L687" s="117"/>
      <c r="M687" s="72"/>
      <c r="O687" s="117"/>
      <c r="P687" s="117"/>
    </row>
    <row r="688" spans="1:16">
      <c r="A688" s="31"/>
      <c r="D688" s="125">
        <f>18</f>
        <v>18</v>
      </c>
      <c r="E688" s="73">
        <f>12.9</f>
        <v>12.9</v>
      </c>
      <c r="F688" s="81">
        <v>564.6</v>
      </c>
      <c r="G688" s="81">
        <v>467.04</v>
      </c>
      <c r="H688" s="81"/>
      <c r="I688" s="81"/>
      <c r="J688" s="81"/>
      <c r="K688" s="109">
        <f>(D688*E688-8.65*6.4)*1.15</f>
        <v>203.36599999999999</v>
      </c>
      <c r="L688" s="115"/>
      <c r="M688" s="72"/>
      <c r="O688" s="117"/>
      <c r="P688" s="117"/>
    </row>
    <row r="689" spans="1:16">
      <c r="A689" s="31"/>
      <c r="C689" s="129"/>
      <c r="E689" s="130"/>
      <c r="F689" s="131">
        <v>323.52</v>
      </c>
      <c r="G689" s="131">
        <v>389.4</v>
      </c>
      <c r="H689" s="132" t="e">
        <f>NA()</f>
        <v>#N/A</v>
      </c>
      <c r="I689" s="81"/>
      <c r="J689" s="81"/>
      <c r="K689" s="109"/>
      <c r="L689" s="115"/>
      <c r="M689" s="72"/>
      <c r="O689" s="117"/>
      <c r="P689" s="117"/>
    </row>
    <row r="690" spans="1:16">
      <c r="A690" s="31"/>
      <c r="C690" s="129"/>
      <c r="G690" s="31"/>
      <c r="H690" s="81"/>
      <c r="I690" s="81"/>
      <c r="J690" s="81"/>
      <c r="K690" s="109"/>
      <c r="L690" s="115"/>
      <c r="M690" s="72">
        <f>H690-(I690+J690+K690+L690)</f>
        <v>0</v>
      </c>
      <c r="O690" s="117"/>
      <c r="P690" s="117"/>
    </row>
    <row r="691" spans="1:16">
      <c r="A691" s="31"/>
      <c r="C691" s="129"/>
      <c r="F691" s="72"/>
      <c r="H691" s="81"/>
      <c r="I691" s="81"/>
      <c r="J691" s="81"/>
      <c r="K691" s="109"/>
      <c r="L691" s="115"/>
      <c r="M691" s="72">
        <f>H691-(I691+J691+K691+L691)</f>
        <v>0</v>
      </c>
      <c r="O691" s="117"/>
      <c r="P691" s="117"/>
    </row>
    <row r="692" spans="1:16">
      <c r="A692" s="31"/>
      <c r="C692" s="129"/>
      <c r="G692" s="31"/>
      <c r="H692" s="81"/>
      <c r="I692" s="81"/>
      <c r="J692" s="81"/>
      <c r="K692" s="109"/>
      <c r="L692" s="115"/>
      <c r="M692" s="72">
        <f>H692-(I692+J692+K692+L692)</f>
        <v>0</v>
      </c>
      <c r="O692" s="117"/>
      <c r="P692" s="117"/>
    </row>
    <row r="693" spans="1:16">
      <c r="C693" s="28" t="s">
        <v>251</v>
      </c>
      <c r="G693" s="31"/>
      <c r="H693" s="29"/>
      <c r="I693" s="81">
        <v>3.4</v>
      </c>
      <c r="L693" s="72"/>
      <c r="M693" s="72"/>
      <c r="O693" s="72"/>
    </row>
    <row r="694" spans="1:16">
      <c r="C694" s="107" t="s">
        <v>252</v>
      </c>
      <c r="G694" s="31"/>
      <c r="H694" s="29"/>
      <c r="I694" s="133">
        <v>2.8</v>
      </c>
      <c r="L694" s="72"/>
      <c r="M694" s="72"/>
      <c r="O694" s="72"/>
    </row>
    <row r="695" spans="1:16">
      <c r="A695" s="28" t="s">
        <v>117</v>
      </c>
      <c r="C695" s="28" t="s">
        <v>120</v>
      </c>
      <c r="D695" s="31">
        <f>10.5</f>
        <v>10.5</v>
      </c>
      <c r="E695" s="73">
        <f>5</f>
        <v>5</v>
      </c>
      <c r="F695" s="72">
        <v>52.45</v>
      </c>
      <c r="G695" s="31">
        <v>31</v>
      </c>
      <c r="H695" s="31">
        <v>86.8</v>
      </c>
      <c r="I695" s="31">
        <v>11.2</v>
      </c>
      <c r="J695" s="31">
        <v>75.599999999999994</v>
      </c>
      <c r="K695" s="114">
        <f>H695-(I695+J695)</f>
        <v>0</v>
      </c>
      <c r="L695" s="72"/>
      <c r="M695" s="72">
        <f t="shared" ref="M695:M702" si="16">H695-(I695+J695+K695+L695)</f>
        <v>0</v>
      </c>
      <c r="O695" s="72"/>
    </row>
    <row r="696" spans="1:16">
      <c r="A696" s="28" t="s">
        <v>119</v>
      </c>
      <c r="C696" s="28" t="s">
        <v>122</v>
      </c>
      <c r="D696" s="31"/>
      <c r="E696" s="73"/>
      <c r="F696" s="72"/>
      <c r="G696" s="31"/>
      <c r="J696" s="31"/>
      <c r="L696" s="72"/>
      <c r="M696" s="72">
        <f t="shared" si="16"/>
        <v>0</v>
      </c>
      <c r="O696" s="72"/>
    </row>
    <row r="697" spans="1:16">
      <c r="A697" s="28" t="s">
        <v>121</v>
      </c>
      <c r="C697" s="28" t="s">
        <v>124</v>
      </c>
      <c r="D697" s="31">
        <f>4.2</f>
        <v>4.2</v>
      </c>
      <c r="E697" s="73">
        <f>3.45</f>
        <v>3.45</v>
      </c>
      <c r="F697" s="72">
        <v>14.5</v>
      </c>
      <c r="G697" s="31">
        <v>15.3</v>
      </c>
      <c r="H697" s="31">
        <v>42.84</v>
      </c>
      <c r="I697" s="31">
        <v>9.66</v>
      </c>
      <c r="J697" s="31">
        <v>23.52</v>
      </c>
      <c r="K697" s="114">
        <f>H697-(I697+J697)</f>
        <v>9.6600000000000037</v>
      </c>
      <c r="L697" s="115"/>
      <c r="M697" s="72">
        <f t="shared" si="16"/>
        <v>0</v>
      </c>
      <c r="O697" s="72"/>
    </row>
    <row r="698" spans="1:16">
      <c r="A698" s="28" t="s">
        <v>123</v>
      </c>
      <c r="C698" s="28" t="s">
        <v>126</v>
      </c>
      <c r="D698" s="31">
        <f>F698/E698</f>
        <v>10.55</v>
      </c>
      <c r="E698" s="73">
        <f>2</f>
        <v>2</v>
      </c>
      <c r="F698" s="72">
        <v>21.1</v>
      </c>
      <c r="G698" s="31">
        <v>25.1</v>
      </c>
      <c r="H698" s="31">
        <v>70.28</v>
      </c>
      <c r="J698" s="31"/>
      <c r="K698" s="114">
        <f>H698-(I698+J698)</f>
        <v>70.28</v>
      </c>
      <c r="L698" s="115"/>
      <c r="M698" s="72">
        <f t="shared" si="16"/>
        <v>0</v>
      </c>
      <c r="O698" s="72"/>
    </row>
    <row r="699" spans="1:16">
      <c r="A699" s="28" t="s">
        <v>125</v>
      </c>
      <c r="C699" s="28" t="s">
        <v>126</v>
      </c>
      <c r="D699" s="31">
        <f>27</f>
        <v>27</v>
      </c>
      <c r="E699" s="73">
        <f>4</f>
        <v>4</v>
      </c>
      <c r="F699" s="72">
        <v>65.55</v>
      </c>
      <c r="G699" s="31">
        <v>62</v>
      </c>
      <c r="H699" s="31">
        <v>173.6</v>
      </c>
      <c r="I699" s="31">
        <v>11.2</v>
      </c>
      <c r="J699" s="31">
        <v>11.2</v>
      </c>
      <c r="K699" s="114">
        <f>H699-(I699+J699)</f>
        <v>151.19999999999999</v>
      </c>
      <c r="L699" s="115"/>
      <c r="M699" s="72">
        <f t="shared" si="16"/>
        <v>0</v>
      </c>
      <c r="O699" s="72"/>
    </row>
    <row r="700" spans="1:16">
      <c r="A700" s="28" t="s">
        <v>127</v>
      </c>
      <c r="C700" s="28" t="s">
        <v>126</v>
      </c>
      <c r="D700" s="31">
        <f>36</f>
        <v>36</v>
      </c>
      <c r="E700" s="73">
        <f>4</f>
        <v>4</v>
      </c>
      <c r="F700" s="72">
        <v>77.45</v>
      </c>
      <c r="G700" s="31">
        <v>80</v>
      </c>
      <c r="H700" s="31">
        <v>224</v>
      </c>
      <c r="I700" s="31">
        <v>11.2</v>
      </c>
      <c r="J700" s="31">
        <v>11.2</v>
      </c>
      <c r="K700" s="114">
        <f>H700-(I700+J700)</f>
        <v>201.6</v>
      </c>
      <c r="L700" s="115"/>
      <c r="M700" s="72">
        <f t="shared" si="16"/>
        <v>0</v>
      </c>
      <c r="O700" s="72"/>
    </row>
    <row r="701" spans="1:16">
      <c r="A701" s="28" t="s">
        <v>128</v>
      </c>
      <c r="C701" s="28" t="s">
        <v>253</v>
      </c>
      <c r="D701" s="31">
        <f>6.35</f>
        <v>6.35</v>
      </c>
      <c r="E701" s="73">
        <f>2.5</f>
        <v>2.5</v>
      </c>
      <c r="F701" s="72">
        <v>5.8</v>
      </c>
      <c r="G701" s="31">
        <v>17.7</v>
      </c>
      <c r="H701" s="31">
        <v>49.56</v>
      </c>
      <c r="I701" s="31">
        <v>24.78</v>
      </c>
      <c r="J701" s="31">
        <v>24.78</v>
      </c>
      <c r="K701" s="114">
        <f>H701-(I701+J701)</f>
        <v>0</v>
      </c>
      <c r="L701" s="115"/>
      <c r="M701" s="72">
        <f t="shared" si="16"/>
        <v>0</v>
      </c>
      <c r="O701" s="72"/>
    </row>
    <row r="702" spans="1:16">
      <c r="A702" s="28" t="s">
        <v>129</v>
      </c>
      <c r="C702" s="28" t="s">
        <v>254</v>
      </c>
      <c r="D702" s="73">
        <f>7</f>
        <v>7</v>
      </c>
      <c r="E702" s="73">
        <f>3</f>
        <v>3</v>
      </c>
      <c r="F702" s="72">
        <v>23.1</v>
      </c>
      <c r="G702" s="31">
        <v>20</v>
      </c>
      <c r="H702" s="31">
        <v>40</v>
      </c>
      <c r="I702" s="31">
        <v>12</v>
      </c>
      <c r="J702" s="31">
        <v>28</v>
      </c>
      <c r="K702" s="114"/>
      <c r="L702" s="72"/>
      <c r="M702" s="72">
        <f t="shared" si="16"/>
        <v>0</v>
      </c>
      <c r="O702" s="72"/>
    </row>
    <row r="703" spans="1:16">
      <c r="C703" s="28"/>
      <c r="D703" s="73"/>
      <c r="E703" s="73"/>
      <c r="F703" s="72"/>
      <c r="G703" s="31"/>
      <c r="J703" s="31"/>
      <c r="K703" s="114"/>
      <c r="L703" s="72"/>
      <c r="M703" s="72"/>
      <c r="O703" s="72"/>
    </row>
    <row r="704" spans="1:16">
      <c r="A704" s="29"/>
      <c r="C704" s="107" t="s">
        <v>255</v>
      </c>
      <c r="D704" s="73"/>
      <c r="E704" s="73"/>
      <c r="G704" s="31"/>
      <c r="J704" s="109"/>
      <c r="L704" s="72"/>
      <c r="M704" s="72">
        <f t="shared" ref="M704:M735" si="17">H704-(I704+J704+K704+L704)</f>
        <v>0</v>
      </c>
      <c r="O704" s="72"/>
    </row>
    <row r="705" spans="1:15">
      <c r="A705" s="28" t="s">
        <v>196</v>
      </c>
      <c r="C705" s="28" t="s">
        <v>256</v>
      </c>
      <c r="D705" s="31">
        <f>7.6</f>
        <v>7.6</v>
      </c>
      <c r="E705" s="73">
        <f>6.2</f>
        <v>6.2</v>
      </c>
      <c r="F705" s="72">
        <v>47.9</v>
      </c>
      <c r="G705" s="31">
        <v>27.6</v>
      </c>
      <c r="H705" s="31">
        <v>93.84</v>
      </c>
      <c r="I705" s="31">
        <v>46.92</v>
      </c>
      <c r="J705" s="31"/>
      <c r="K705" s="114">
        <f t="shared" ref="K705:K712" si="18">H705-(I705+J705)</f>
        <v>46.92</v>
      </c>
      <c r="L705" s="115"/>
      <c r="M705" s="72">
        <f t="shared" si="17"/>
        <v>0</v>
      </c>
      <c r="O705" s="72"/>
    </row>
    <row r="706" spans="1:15">
      <c r="A706" s="28" t="s">
        <v>198</v>
      </c>
      <c r="C706" s="116" t="s">
        <v>257</v>
      </c>
      <c r="D706" s="117">
        <f>6.2</f>
        <v>6.2</v>
      </c>
      <c r="E706" s="118">
        <f>4</f>
        <v>4</v>
      </c>
      <c r="F706" s="72">
        <v>25.2</v>
      </c>
      <c r="G706" s="31">
        <v>20.399999999999999</v>
      </c>
      <c r="H706" s="117">
        <v>69.36</v>
      </c>
      <c r="I706" s="117">
        <v>34.68</v>
      </c>
      <c r="J706" s="31"/>
      <c r="K706" s="114">
        <f t="shared" si="18"/>
        <v>34.68</v>
      </c>
      <c r="L706" s="115"/>
      <c r="M706" s="72">
        <f t="shared" si="17"/>
        <v>0</v>
      </c>
      <c r="O706" s="72"/>
    </row>
    <row r="707" spans="1:15">
      <c r="A707" s="28" t="s">
        <v>200</v>
      </c>
      <c r="C707" s="28" t="s">
        <v>258</v>
      </c>
      <c r="D707" s="31">
        <f>F707/E707</f>
        <v>4.7</v>
      </c>
      <c r="E707" s="73">
        <f>3</f>
        <v>3</v>
      </c>
      <c r="F707" s="72">
        <v>14.1</v>
      </c>
      <c r="G707" s="31">
        <v>15.4</v>
      </c>
      <c r="H707" s="31">
        <v>52.36</v>
      </c>
      <c r="I707" s="31">
        <v>10.199999999999999</v>
      </c>
      <c r="J707" s="31"/>
      <c r="K707" s="114">
        <f t="shared" si="18"/>
        <v>42.16</v>
      </c>
      <c r="L707" s="115"/>
      <c r="M707" s="72">
        <f t="shared" si="17"/>
        <v>0</v>
      </c>
      <c r="O707" s="72"/>
    </row>
    <row r="708" spans="1:15">
      <c r="A708" s="28" t="s">
        <v>201</v>
      </c>
      <c r="C708" s="28" t="s">
        <v>258</v>
      </c>
      <c r="D708" s="31">
        <f>F708/E708</f>
        <v>4.7</v>
      </c>
      <c r="E708" s="73">
        <f>3</f>
        <v>3</v>
      </c>
      <c r="F708" s="72">
        <v>14.1</v>
      </c>
      <c r="G708" s="31">
        <v>15.4</v>
      </c>
      <c r="H708" s="31">
        <v>52.36</v>
      </c>
      <c r="I708" s="31">
        <v>10.199999999999999</v>
      </c>
      <c r="J708" s="31"/>
      <c r="K708" s="114">
        <f t="shared" si="18"/>
        <v>42.16</v>
      </c>
      <c r="L708" s="115"/>
      <c r="M708" s="72">
        <f t="shared" si="17"/>
        <v>0</v>
      </c>
      <c r="O708" s="72"/>
    </row>
    <row r="709" spans="1:15">
      <c r="A709" s="28" t="s">
        <v>203</v>
      </c>
      <c r="C709" s="28" t="s">
        <v>258</v>
      </c>
      <c r="D709" s="31">
        <f>F709/E709</f>
        <v>4.7</v>
      </c>
      <c r="E709" s="73">
        <f>3</f>
        <v>3</v>
      </c>
      <c r="F709" s="72">
        <v>14.1</v>
      </c>
      <c r="G709" s="31">
        <v>15.4</v>
      </c>
      <c r="H709" s="31">
        <v>52.36</v>
      </c>
      <c r="I709" s="31">
        <v>10.199999999999999</v>
      </c>
      <c r="J709" s="31"/>
      <c r="K709" s="114">
        <f t="shared" si="18"/>
        <v>42.16</v>
      </c>
      <c r="L709" s="115"/>
      <c r="M709" s="72">
        <f t="shared" si="17"/>
        <v>0</v>
      </c>
      <c r="O709" s="72"/>
    </row>
    <row r="710" spans="1:15">
      <c r="A710" s="28" t="s">
        <v>259</v>
      </c>
      <c r="C710" s="28" t="s">
        <v>258</v>
      </c>
      <c r="D710" s="31">
        <f>F710/E710</f>
        <v>4.7</v>
      </c>
      <c r="E710" s="73">
        <f>3</f>
        <v>3</v>
      </c>
      <c r="F710" s="72">
        <v>14.1</v>
      </c>
      <c r="G710" s="31">
        <v>15.4</v>
      </c>
      <c r="H710" s="31">
        <v>52.36</v>
      </c>
      <c r="I710" s="31">
        <v>10.199999999999999</v>
      </c>
      <c r="J710" s="31"/>
      <c r="K710" s="114">
        <f t="shared" si="18"/>
        <v>42.16</v>
      </c>
      <c r="L710" s="115"/>
      <c r="M710" s="72">
        <f t="shared" si="17"/>
        <v>0</v>
      </c>
      <c r="O710" s="72"/>
    </row>
    <row r="711" spans="1:15">
      <c r="A711" s="28" t="s">
        <v>260</v>
      </c>
      <c r="C711" s="28" t="s">
        <v>261</v>
      </c>
      <c r="D711" s="31">
        <f>4.7</f>
        <v>4.7</v>
      </c>
      <c r="E711" s="73">
        <f>4</f>
        <v>4</v>
      </c>
      <c r="F711" s="72">
        <v>17.850000000000001</v>
      </c>
      <c r="G711" s="31">
        <v>17.399999999999999</v>
      </c>
      <c r="H711" s="31">
        <v>59.16</v>
      </c>
      <c r="I711" s="31">
        <v>21.59</v>
      </c>
      <c r="J711" s="31">
        <v>13.6</v>
      </c>
      <c r="K711" s="114">
        <f t="shared" si="18"/>
        <v>23.97</v>
      </c>
      <c r="L711" s="115"/>
      <c r="M711" s="72">
        <f t="shared" si="17"/>
        <v>0</v>
      </c>
      <c r="O711" s="72"/>
    </row>
    <row r="712" spans="1:15">
      <c r="A712" s="28" t="s">
        <v>262</v>
      </c>
      <c r="C712" s="28" t="s">
        <v>263</v>
      </c>
      <c r="D712" s="31">
        <f>4.7</f>
        <v>4.7</v>
      </c>
      <c r="E712" s="73">
        <f>4</f>
        <v>4</v>
      </c>
      <c r="F712" s="72">
        <v>18.8</v>
      </c>
      <c r="G712" s="31">
        <v>17.399999999999999</v>
      </c>
      <c r="H712" s="31">
        <v>59.16</v>
      </c>
      <c r="I712" s="31">
        <v>21.59</v>
      </c>
      <c r="J712" s="31">
        <v>7.99</v>
      </c>
      <c r="K712" s="114">
        <f t="shared" si="18"/>
        <v>29.58</v>
      </c>
      <c r="L712" s="115"/>
      <c r="M712" s="72">
        <f t="shared" si="17"/>
        <v>0</v>
      </c>
      <c r="O712" s="72"/>
    </row>
    <row r="713" spans="1:15">
      <c r="A713" s="28" t="s">
        <v>264</v>
      </c>
      <c r="B713" s="175"/>
      <c r="C713" s="116" t="s">
        <v>132</v>
      </c>
      <c r="D713" s="117">
        <f>2.3</f>
        <v>2.2999999999999998</v>
      </c>
      <c r="E713" s="118">
        <f>1.3</f>
        <v>1.3</v>
      </c>
      <c r="F713" s="72">
        <v>3</v>
      </c>
      <c r="G713" s="31">
        <v>7.2</v>
      </c>
      <c r="H713" s="117">
        <v>20.16</v>
      </c>
      <c r="I713" s="117">
        <v>3.64</v>
      </c>
      <c r="J713" s="117">
        <v>6.44</v>
      </c>
      <c r="L713" s="117">
        <f>H713-(I713+J713+K713)</f>
        <v>10.08</v>
      </c>
      <c r="M713" s="72">
        <f t="shared" si="17"/>
        <v>0</v>
      </c>
      <c r="O713" s="117"/>
    </row>
    <row r="714" spans="1:15">
      <c r="A714" s="28" t="s">
        <v>265</v>
      </c>
      <c r="C714" s="116" t="s">
        <v>266</v>
      </c>
      <c r="D714" s="134">
        <f>2.375</f>
        <v>2.375</v>
      </c>
      <c r="E714" s="122">
        <f>2.025</f>
        <v>2.0249999999999999</v>
      </c>
      <c r="F714" s="72">
        <v>4.8</v>
      </c>
      <c r="G714" s="31">
        <v>8.8000000000000007</v>
      </c>
      <c r="H714" s="117">
        <v>24.64</v>
      </c>
      <c r="I714" s="117">
        <v>5.67</v>
      </c>
      <c r="J714" s="117">
        <v>6.65</v>
      </c>
      <c r="L714" s="117">
        <f>H714-(I714+J714+K714)</f>
        <v>12.32</v>
      </c>
      <c r="M714" s="72">
        <f t="shared" si="17"/>
        <v>0</v>
      </c>
      <c r="O714" s="117"/>
    </row>
    <row r="715" spans="1:15">
      <c r="A715" s="29"/>
      <c r="C715" s="107" t="s">
        <v>267</v>
      </c>
      <c r="D715" s="117"/>
      <c r="E715" s="118"/>
      <c r="G715" s="31"/>
      <c r="H715" s="117"/>
      <c r="I715" s="29"/>
      <c r="J715" s="117"/>
      <c r="L715" s="115"/>
      <c r="M715" s="72">
        <f t="shared" si="17"/>
        <v>0</v>
      </c>
      <c r="O715" s="117"/>
    </row>
    <row r="716" spans="1:15">
      <c r="A716" s="28" t="s">
        <v>268</v>
      </c>
      <c r="C716" s="28" t="s">
        <v>269</v>
      </c>
      <c r="D716" s="31">
        <f>8.5</f>
        <v>8.5</v>
      </c>
      <c r="E716" s="73">
        <f>3.6</f>
        <v>3.6</v>
      </c>
      <c r="F716" s="72">
        <v>27.65</v>
      </c>
      <c r="G716" s="31">
        <v>24.2</v>
      </c>
      <c r="H716" s="31">
        <v>67.760000000000005</v>
      </c>
      <c r="I716" s="31">
        <v>10.08</v>
      </c>
      <c r="J716" s="31"/>
      <c r="K716" s="114">
        <f>H716-(I716+J716)</f>
        <v>57.680000000000007</v>
      </c>
      <c r="L716" s="115"/>
      <c r="M716" s="72">
        <f t="shared" si="17"/>
        <v>0</v>
      </c>
      <c r="O716" s="72"/>
    </row>
    <row r="717" spans="1:15">
      <c r="A717" s="28" t="s">
        <v>270</v>
      </c>
      <c r="C717" s="28" t="s">
        <v>271</v>
      </c>
      <c r="D717" s="31">
        <f>2</f>
        <v>2</v>
      </c>
      <c r="E717" s="73">
        <f>2</f>
        <v>2</v>
      </c>
      <c r="F717" s="72">
        <v>4</v>
      </c>
      <c r="G717" s="31">
        <v>8</v>
      </c>
      <c r="H717" s="31">
        <v>22.4</v>
      </c>
      <c r="I717" s="31">
        <v>5.6</v>
      </c>
      <c r="J717" s="31">
        <v>11.2</v>
      </c>
      <c r="K717" s="114">
        <f>H717-(I717+J717)</f>
        <v>5.6000000000000014</v>
      </c>
      <c r="L717" s="115"/>
      <c r="M717" s="72">
        <f t="shared" si="17"/>
        <v>0</v>
      </c>
      <c r="O717" s="72"/>
    </row>
    <row r="718" spans="1:15">
      <c r="A718" s="28" t="s">
        <v>272</v>
      </c>
      <c r="C718" s="28" t="s">
        <v>271</v>
      </c>
      <c r="D718" s="31">
        <f>2</f>
        <v>2</v>
      </c>
      <c r="E718" s="124">
        <f>F718/D718</f>
        <v>1.875</v>
      </c>
      <c r="F718" s="72">
        <v>3.75</v>
      </c>
      <c r="G718" s="31">
        <v>7.75</v>
      </c>
      <c r="H718" s="31">
        <v>21.7</v>
      </c>
      <c r="J718" s="31">
        <v>10.85</v>
      </c>
      <c r="K718" s="114">
        <f>H718-(I718+J718)</f>
        <v>10.85</v>
      </c>
      <c r="L718" s="115"/>
      <c r="M718" s="72">
        <f t="shared" si="17"/>
        <v>0</v>
      </c>
      <c r="O718" s="72"/>
    </row>
    <row r="719" spans="1:15">
      <c r="A719" s="29"/>
      <c r="C719" s="107" t="s">
        <v>273</v>
      </c>
      <c r="D719" s="108"/>
      <c r="E719" s="73"/>
      <c r="J719" s="109"/>
      <c r="L719" s="115"/>
      <c r="M719" s="72">
        <f t="shared" si="17"/>
        <v>0</v>
      </c>
      <c r="O719" s="72"/>
    </row>
    <row r="720" spans="1:15">
      <c r="A720" s="28" t="s">
        <v>274</v>
      </c>
      <c r="C720" s="116" t="s">
        <v>275</v>
      </c>
      <c r="D720" s="117">
        <f>4.32</f>
        <v>4.32</v>
      </c>
      <c r="E720" s="122">
        <f>2.825</f>
        <v>2.8250000000000002</v>
      </c>
      <c r="F720" s="72">
        <v>12.2</v>
      </c>
      <c r="G720" s="31">
        <v>14.29</v>
      </c>
      <c r="H720" s="117">
        <v>40.012</v>
      </c>
      <c r="I720" s="117">
        <v>7.91</v>
      </c>
      <c r="J720" s="117">
        <v>12.096</v>
      </c>
      <c r="K720" s="114"/>
      <c r="L720" s="117">
        <f>H720-(I720+J720+K720)</f>
        <v>20.006</v>
      </c>
      <c r="M720" s="72">
        <f t="shared" si="17"/>
        <v>0</v>
      </c>
      <c r="O720" s="72"/>
    </row>
    <row r="721" spans="1:15">
      <c r="A721" s="28" t="s">
        <v>276</v>
      </c>
      <c r="C721" s="28" t="s">
        <v>277</v>
      </c>
      <c r="D721" s="31">
        <f>7.5</f>
        <v>7.5</v>
      </c>
      <c r="E721" s="73">
        <f>4.5</f>
        <v>4.5</v>
      </c>
      <c r="F721" s="72">
        <v>26.6</v>
      </c>
      <c r="G721" s="31">
        <v>24</v>
      </c>
      <c r="H721" s="31">
        <v>67.2</v>
      </c>
      <c r="I721" s="31">
        <v>23.1</v>
      </c>
      <c r="J721" s="31">
        <v>44.1</v>
      </c>
      <c r="K721" s="114">
        <f>H721-(I721+J721)</f>
        <v>0</v>
      </c>
      <c r="L721" s="115"/>
      <c r="M721" s="72">
        <f t="shared" si="17"/>
        <v>0</v>
      </c>
      <c r="O721" s="72"/>
    </row>
    <row r="722" spans="1:15">
      <c r="A722" s="28" t="s">
        <v>278</v>
      </c>
      <c r="C722" s="116" t="s">
        <v>163</v>
      </c>
      <c r="D722" s="117">
        <f>2.85</f>
        <v>2.85</v>
      </c>
      <c r="E722" s="118">
        <f>2.2</f>
        <v>2.2000000000000002</v>
      </c>
      <c r="F722" s="72">
        <v>6.25</v>
      </c>
      <c r="G722" s="31">
        <v>10.1</v>
      </c>
      <c r="H722" s="117">
        <v>28.28</v>
      </c>
      <c r="I722" s="29"/>
      <c r="J722" s="117">
        <v>14.14</v>
      </c>
      <c r="L722" s="117">
        <f>H722-(I722+J722+K722)</f>
        <v>14.14</v>
      </c>
      <c r="M722" s="72">
        <f t="shared" si="17"/>
        <v>0</v>
      </c>
      <c r="O722" s="117"/>
    </row>
    <row r="723" spans="1:15">
      <c r="A723" s="28" t="s">
        <v>279</v>
      </c>
      <c r="C723" s="28" t="s">
        <v>277</v>
      </c>
      <c r="D723" s="31">
        <f>7.5</f>
        <v>7.5</v>
      </c>
      <c r="E723" s="73">
        <f>4.5</f>
        <v>4.5</v>
      </c>
      <c r="F723" s="72">
        <v>29.45</v>
      </c>
      <c r="G723" s="31">
        <v>24</v>
      </c>
      <c r="H723" s="31">
        <v>67.2</v>
      </c>
      <c r="I723" s="31">
        <v>12.6</v>
      </c>
      <c r="J723" s="31">
        <v>42</v>
      </c>
      <c r="K723" s="114">
        <f>H723-(I723+J723)</f>
        <v>12.600000000000001</v>
      </c>
      <c r="L723" s="115"/>
      <c r="M723" s="72">
        <f t="shared" si="17"/>
        <v>0</v>
      </c>
      <c r="O723" s="72"/>
    </row>
    <row r="724" spans="1:15">
      <c r="A724" s="28" t="s">
        <v>280</v>
      </c>
      <c r="C724" s="116" t="s">
        <v>163</v>
      </c>
      <c r="D724" s="134">
        <f>2.225</f>
        <v>2.2250000000000001</v>
      </c>
      <c r="E724" s="118">
        <f>1.8</f>
        <v>1.8</v>
      </c>
      <c r="F724" s="72">
        <v>4</v>
      </c>
      <c r="G724" s="31">
        <v>8.0500000000000007</v>
      </c>
      <c r="H724" s="117">
        <v>22.54</v>
      </c>
      <c r="I724" s="29"/>
      <c r="J724" s="117">
        <v>11.27</v>
      </c>
      <c r="L724" s="117">
        <f>H724-(I724+J724+K724)</f>
        <v>11.27</v>
      </c>
      <c r="M724" s="72">
        <f t="shared" si="17"/>
        <v>0</v>
      </c>
      <c r="O724" s="117"/>
    </row>
    <row r="725" spans="1:15">
      <c r="A725" s="28" t="s">
        <v>281</v>
      </c>
      <c r="C725" s="28" t="s">
        <v>282</v>
      </c>
      <c r="D725" s="31">
        <f>6.35</f>
        <v>6.35</v>
      </c>
      <c r="E725" s="73">
        <f>4.55</f>
        <v>4.55</v>
      </c>
      <c r="F725" s="72">
        <v>24</v>
      </c>
      <c r="G725" s="31">
        <v>21.8</v>
      </c>
      <c r="H725" s="31">
        <v>61.04</v>
      </c>
      <c r="I725" s="31">
        <v>12.74</v>
      </c>
      <c r="J725" s="31">
        <v>35.56</v>
      </c>
      <c r="K725" s="114">
        <f>H725-(I725+J725)</f>
        <v>12.739999999999995</v>
      </c>
      <c r="L725" s="115"/>
      <c r="M725" s="72">
        <f t="shared" si="17"/>
        <v>0</v>
      </c>
      <c r="O725" s="72"/>
    </row>
    <row r="726" spans="1:15">
      <c r="A726" s="28" t="s">
        <v>283</v>
      </c>
      <c r="C726" s="116" t="s">
        <v>163</v>
      </c>
      <c r="D726" s="134">
        <f>2.225</f>
        <v>2.2250000000000001</v>
      </c>
      <c r="E726" s="118">
        <f>1.8</f>
        <v>1.8</v>
      </c>
      <c r="F726" s="72">
        <v>4</v>
      </c>
      <c r="G726" s="31">
        <v>8.0500000000000007</v>
      </c>
      <c r="H726" s="117">
        <v>22.54</v>
      </c>
      <c r="I726" s="29"/>
      <c r="J726" s="117">
        <v>11.27</v>
      </c>
      <c r="L726" s="117">
        <f>H726-(I726+J726+K726)</f>
        <v>11.27</v>
      </c>
      <c r="M726" s="72">
        <f t="shared" si="17"/>
        <v>0</v>
      </c>
      <c r="O726" s="117"/>
    </row>
    <row r="727" spans="1:15">
      <c r="A727" s="28" t="s">
        <v>284</v>
      </c>
      <c r="C727" s="28" t="s">
        <v>282</v>
      </c>
      <c r="D727" s="31">
        <f>6.35</f>
        <v>6.35</v>
      </c>
      <c r="E727" s="73">
        <f>4.5</f>
        <v>4.5</v>
      </c>
      <c r="F727" s="72">
        <v>24</v>
      </c>
      <c r="G727" s="31">
        <v>21.7</v>
      </c>
      <c r="H727" s="31">
        <v>60.76</v>
      </c>
      <c r="I727" s="31">
        <v>12.6</v>
      </c>
      <c r="J727" s="31">
        <v>35.56</v>
      </c>
      <c r="K727" s="114">
        <f>H727-(I727+J727)</f>
        <v>12.599999999999994</v>
      </c>
      <c r="L727" s="115"/>
      <c r="M727" s="72">
        <f t="shared" si="17"/>
        <v>0</v>
      </c>
      <c r="O727" s="72"/>
    </row>
    <row r="728" spans="1:15">
      <c r="A728" s="28" t="s">
        <v>285</v>
      </c>
      <c r="C728" s="116" t="s">
        <v>163</v>
      </c>
      <c r="D728" s="134">
        <f>2.225</f>
        <v>2.2250000000000001</v>
      </c>
      <c r="E728" s="118">
        <f>1.8</f>
        <v>1.8</v>
      </c>
      <c r="F728" s="72">
        <v>4</v>
      </c>
      <c r="G728" s="31">
        <v>8.0500000000000007</v>
      </c>
      <c r="H728" s="117">
        <v>22.54</v>
      </c>
      <c r="I728" s="29"/>
      <c r="J728" s="117">
        <v>11.27</v>
      </c>
      <c r="L728" s="117">
        <f>H728-(I728+J728+K728)</f>
        <v>11.27</v>
      </c>
      <c r="M728" s="72">
        <f t="shared" si="17"/>
        <v>0</v>
      </c>
      <c r="O728" s="117"/>
    </row>
    <row r="729" spans="1:15">
      <c r="A729" s="28" t="s">
        <v>286</v>
      </c>
      <c r="C729" s="28" t="s">
        <v>282</v>
      </c>
      <c r="D729" s="31">
        <f>6.35</f>
        <v>6.35</v>
      </c>
      <c r="E729" s="73">
        <f>4.5</f>
        <v>4.5</v>
      </c>
      <c r="F729" s="72">
        <v>24</v>
      </c>
      <c r="G729" s="31">
        <v>21.7</v>
      </c>
      <c r="H729" s="31">
        <v>60.76</v>
      </c>
      <c r="I729" s="31">
        <v>12.6</v>
      </c>
      <c r="J729" s="31">
        <v>35.56</v>
      </c>
      <c r="K729" s="114">
        <f>H729-(I729+J729)</f>
        <v>12.599999999999994</v>
      </c>
      <c r="L729" s="115"/>
      <c r="M729" s="72">
        <f t="shared" si="17"/>
        <v>0</v>
      </c>
      <c r="O729" s="72"/>
    </row>
    <row r="730" spans="1:15">
      <c r="A730" s="28" t="s">
        <v>287</v>
      </c>
      <c r="C730" s="116" t="s">
        <v>163</v>
      </c>
      <c r="D730" s="134">
        <f>2.225</f>
        <v>2.2250000000000001</v>
      </c>
      <c r="E730" s="118">
        <f>1.8</f>
        <v>1.8</v>
      </c>
      <c r="F730" s="72">
        <v>4</v>
      </c>
      <c r="G730" s="31">
        <v>8.0500000000000007</v>
      </c>
      <c r="H730" s="117">
        <v>22.54</v>
      </c>
      <c r="I730" s="29"/>
      <c r="J730" s="117">
        <v>11.27</v>
      </c>
      <c r="L730" s="117">
        <f>H730-(I730+J730+K730)</f>
        <v>11.27</v>
      </c>
      <c r="M730" s="72">
        <f t="shared" si="17"/>
        <v>0</v>
      </c>
      <c r="O730" s="117"/>
    </row>
    <row r="731" spans="1:15">
      <c r="A731" s="28" t="s">
        <v>288</v>
      </c>
      <c r="C731" s="28" t="s">
        <v>282</v>
      </c>
      <c r="D731" s="31">
        <f>6.35</f>
        <v>6.35</v>
      </c>
      <c r="E731" s="73">
        <f>4.5</f>
        <v>4.5</v>
      </c>
      <c r="F731" s="72">
        <v>24</v>
      </c>
      <c r="G731" s="31">
        <v>21.7</v>
      </c>
      <c r="H731" s="31">
        <v>60.76</v>
      </c>
      <c r="I731" s="31">
        <v>12.6</v>
      </c>
      <c r="J731" s="31">
        <v>35.56</v>
      </c>
      <c r="K731" s="114">
        <f>H731-(I731+J731)</f>
        <v>12.599999999999994</v>
      </c>
      <c r="L731" s="115"/>
      <c r="M731" s="72">
        <f t="shared" si="17"/>
        <v>0</v>
      </c>
      <c r="O731" s="72"/>
    </row>
    <row r="732" spans="1:15">
      <c r="A732" s="28" t="s">
        <v>289</v>
      </c>
      <c r="C732" s="116" t="s">
        <v>163</v>
      </c>
      <c r="D732" s="134">
        <f>2.225</f>
        <v>2.2250000000000001</v>
      </c>
      <c r="E732" s="118">
        <f>1.8</f>
        <v>1.8</v>
      </c>
      <c r="F732" s="72">
        <v>4</v>
      </c>
      <c r="G732" s="31">
        <v>8.0500000000000007</v>
      </c>
      <c r="H732" s="117">
        <v>22.54</v>
      </c>
      <c r="I732" s="29"/>
      <c r="J732" s="117">
        <v>11.27</v>
      </c>
      <c r="L732" s="117">
        <f>H732-(I732+J732+K732)</f>
        <v>11.27</v>
      </c>
      <c r="M732" s="72">
        <f t="shared" si="17"/>
        <v>0</v>
      </c>
      <c r="O732" s="117"/>
    </row>
    <row r="733" spans="1:15">
      <c r="A733" s="28" t="s">
        <v>290</v>
      </c>
      <c r="C733" s="28" t="s">
        <v>291</v>
      </c>
      <c r="D733" s="31">
        <f>6.35</f>
        <v>6.35</v>
      </c>
      <c r="E733" s="124">
        <f>2.925</f>
        <v>2.9249999999999998</v>
      </c>
      <c r="F733" s="72">
        <v>14.75</v>
      </c>
      <c r="G733" s="31">
        <v>18.55</v>
      </c>
      <c r="H733" s="31">
        <v>51.94</v>
      </c>
      <c r="I733" s="31">
        <v>25.97</v>
      </c>
      <c r="J733" s="31">
        <v>25.97</v>
      </c>
      <c r="K733" s="114">
        <f>H733-(I733+J733)</f>
        <v>0</v>
      </c>
      <c r="L733" s="115"/>
      <c r="M733" s="72">
        <f t="shared" si="17"/>
        <v>0</v>
      </c>
      <c r="O733" s="72"/>
    </row>
    <row r="734" spans="1:15">
      <c r="A734" s="28" t="s">
        <v>292</v>
      </c>
      <c r="C734" s="116" t="s">
        <v>163</v>
      </c>
      <c r="D734" s="134">
        <f>2.225</f>
        <v>2.2250000000000001</v>
      </c>
      <c r="E734" s="118">
        <f>1.4</f>
        <v>1.4</v>
      </c>
      <c r="F734" s="72">
        <v>3.1</v>
      </c>
      <c r="G734" s="31">
        <v>7.25</v>
      </c>
      <c r="H734" s="117">
        <v>20.3</v>
      </c>
      <c r="I734" s="29"/>
      <c r="J734" s="117">
        <v>10.15</v>
      </c>
      <c r="L734" s="117">
        <f>H734-(I734+J734+K734)</f>
        <v>10.15</v>
      </c>
      <c r="M734" s="72">
        <f t="shared" si="17"/>
        <v>0</v>
      </c>
      <c r="O734" s="117"/>
    </row>
    <row r="735" spans="1:15">
      <c r="A735" s="28" t="s">
        <v>293</v>
      </c>
      <c r="C735" s="28" t="s">
        <v>294</v>
      </c>
      <c r="D735" s="31">
        <f>6.35</f>
        <v>6.35</v>
      </c>
      <c r="E735" s="124">
        <f>2.925</f>
        <v>2.9249999999999998</v>
      </c>
      <c r="F735" s="72">
        <v>14.75</v>
      </c>
      <c r="G735" s="31">
        <v>18.55</v>
      </c>
      <c r="H735" s="31">
        <v>51.94</v>
      </c>
      <c r="I735" s="31">
        <v>8.19</v>
      </c>
      <c r="J735" s="31">
        <v>35.56</v>
      </c>
      <c r="K735" s="114">
        <f>H735-(I735+J735)</f>
        <v>8.1899999999999977</v>
      </c>
      <c r="L735" s="115"/>
      <c r="M735" s="72">
        <f t="shared" si="17"/>
        <v>0</v>
      </c>
      <c r="O735" s="72"/>
    </row>
    <row r="736" spans="1:15">
      <c r="A736" s="28" t="s">
        <v>295</v>
      </c>
      <c r="C736" s="116" t="s">
        <v>163</v>
      </c>
      <c r="D736" s="134">
        <f>2.225</f>
        <v>2.2250000000000001</v>
      </c>
      <c r="E736" s="118">
        <f>1.4</f>
        <v>1.4</v>
      </c>
      <c r="F736" s="72">
        <v>3.1</v>
      </c>
      <c r="G736" s="31">
        <v>7.25</v>
      </c>
      <c r="H736" s="117">
        <v>20.3</v>
      </c>
      <c r="I736" s="29"/>
      <c r="J736" s="117">
        <v>10.15</v>
      </c>
      <c r="L736" s="117">
        <f>H736-(I736+J736+K736)</f>
        <v>10.15</v>
      </c>
      <c r="M736" s="72">
        <f t="shared" ref="M736:M767" si="19">H736-(I736+J736+K736+L736)</f>
        <v>0</v>
      </c>
      <c r="O736" s="117"/>
    </row>
    <row r="737" spans="1:15">
      <c r="A737" s="28" t="s">
        <v>296</v>
      </c>
      <c r="C737" s="28" t="s">
        <v>291</v>
      </c>
      <c r="D737" s="31">
        <f>6.35</f>
        <v>6.35</v>
      </c>
      <c r="E737" s="124">
        <f>2.925</f>
        <v>2.9249999999999998</v>
      </c>
      <c r="F737" s="72">
        <v>14.75</v>
      </c>
      <c r="G737" s="31">
        <v>18.55</v>
      </c>
      <c r="H737" s="31">
        <v>51.94</v>
      </c>
      <c r="I737" s="31">
        <v>8.19</v>
      </c>
      <c r="J737" s="31">
        <v>35.56</v>
      </c>
      <c r="K737" s="114">
        <f>H737-(I737+J737)</f>
        <v>8.1899999999999977</v>
      </c>
      <c r="L737" s="115"/>
      <c r="M737" s="72">
        <f t="shared" si="19"/>
        <v>0</v>
      </c>
      <c r="O737" s="72"/>
    </row>
    <row r="738" spans="1:15">
      <c r="A738" s="28" t="s">
        <v>297</v>
      </c>
      <c r="C738" s="116" t="s">
        <v>163</v>
      </c>
      <c r="D738" s="134">
        <f>2.225</f>
        <v>2.2250000000000001</v>
      </c>
      <c r="E738" s="118">
        <f>1.4</f>
        <v>1.4</v>
      </c>
      <c r="F738" s="72">
        <v>3.1</v>
      </c>
      <c r="G738" s="31">
        <v>7.25</v>
      </c>
      <c r="H738" s="117">
        <v>20.3</v>
      </c>
      <c r="I738" s="29"/>
      <c r="J738" s="117">
        <v>10.15</v>
      </c>
      <c r="L738" s="117">
        <f>H738-(I738+J738+K738)</f>
        <v>10.15</v>
      </c>
      <c r="M738" s="72">
        <f t="shared" si="19"/>
        <v>0</v>
      </c>
      <c r="O738" s="117"/>
    </row>
    <row r="739" spans="1:15">
      <c r="A739" s="28" t="s">
        <v>298</v>
      </c>
      <c r="C739" s="28" t="s">
        <v>294</v>
      </c>
      <c r="D739" s="31">
        <f>6.35</f>
        <v>6.35</v>
      </c>
      <c r="E739" s="124">
        <f>2.925</f>
        <v>2.9249999999999998</v>
      </c>
      <c r="F739" s="72">
        <v>14.75</v>
      </c>
      <c r="G739" s="31">
        <v>18.55</v>
      </c>
      <c r="H739" s="31">
        <v>51.94</v>
      </c>
      <c r="I739" s="31">
        <v>8.19</v>
      </c>
      <c r="J739" s="31">
        <v>35.56</v>
      </c>
      <c r="K739" s="114">
        <f>H739-(I739+J739)</f>
        <v>8.1899999999999977</v>
      </c>
      <c r="L739" s="115"/>
      <c r="M739" s="72">
        <f t="shared" si="19"/>
        <v>0</v>
      </c>
      <c r="O739" s="72"/>
    </row>
    <row r="740" spans="1:15">
      <c r="A740" s="28" t="s">
        <v>299</v>
      </c>
      <c r="C740" s="116" t="s">
        <v>163</v>
      </c>
      <c r="D740" s="134">
        <f>2.225</f>
        <v>2.2250000000000001</v>
      </c>
      <c r="E740" s="118">
        <f>1.4</f>
        <v>1.4</v>
      </c>
      <c r="F740" s="72">
        <v>3.1</v>
      </c>
      <c r="G740" s="31">
        <v>7.25</v>
      </c>
      <c r="H740" s="117">
        <v>20.3</v>
      </c>
      <c r="I740" s="29"/>
      <c r="J740" s="117">
        <v>10.15</v>
      </c>
      <c r="L740" s="117">
        <f>H740-(I740+J740+K740)</f>
        <v>10.15</v>
      </c>
      <c r="M740" s="72">
        <f t="shared" si="19"/>
        <v>0</v>
      </c>
      <c r="O740" s="117"/>
    </row>
    <row r="741" spans="1:15">
      <c r="A741" s="28" t="s">
        <v>300</v>
      </c>
      <c r="B741" s="175"/>
      <c r="C741" s="28" t="s">
        <v>294</v>
      </c>
      <c r="D741" s="31">
        <f>6.35</f>
        <v>6.35</v>
      </c>
      <c r="E741" s="124">
        <f>2.925</f>
        <v>2.9249999999999998</v>
      </c>
      <c r="F741" s="72">
        <v>13.6</v>
      </c>
      <c r="G741" s="31">
        <v>18.55</v>
      </c>
      <c r="H741" s="31">
        <v>51.94</v>
      </c>
      <c r="I741" s="31">
        <v>8.19</v>
      </c>
      <c r="J741" s="31">
        <v>35.56</v>
      </c>
      <c r="K741" s="114">
        <f>H741-(I741+J741)</f>
        <v>8.1899999999999977</v>
      </c>
      <c r="L741" s="115"/>
      <c r="M741" s="72">
        <f t="shared" si="19"/>
        <v>0</v>
      </c>
      <c r="O741" s="72"/>
    </row>
    <row r="742" spans="1:15">
      <c r="A742" s="28" t="s">
        <v>301</v>
      </c>
      <c r="B742" s="175"/>
      <c r="C742" s="116" t="s">
        <v>163</v>
      </c>
      <c r="D742" s="134">
        <f>2.225</f>
        <v>2.2250000000000001</v>
      </c>
      <c r="E742" s="118">
        <f>1.4</f>
        <v>1.4</v>
      </c>
      <c r="F742" s="72">
        <v>3.1</v>
      </c>
      <c r="G742" s="31">
        <v>7.25</v>
      </c>
      <c r="H742" s="117">
        <v>20.3</v>
      </c>
      <c r="I742" s="29"/>
      <c r="J742" s="117">
        <v>10.15</v>
      </c>
      <c r="L742" s="117">
        <f>H742-(I742+J742+K742)</f>
        <v>10.15</v>
      </c>
      <c r="M742" s="72">
        <f t="shared" si="19"/>
        <v>0</v>
      </c>
      <c r="O742" s="117"/>
    </row>
    <row r="743" spans="1:15">
      <c r="A743" s="28" t="s">
        <v>302</v>
      </c>
      <c r="B743" s="175"/>
      <c r="C743" s="28" t="s">
        <v>294</v>
      </c>
      <c r="D743" s="31">
        <f>6.35</f>
        <v>6.35</v>
      </c>
      <c r="E743" s="124">
        <f>2.925</f>
        <v>2.9249999999999998</v>
      </c>
      <c r="F743" s="72">
        <v>13.6</v>
      </c>
      <c r="G743" s="31">
        <v>18.55</v>
      </c>
      <c r="H743" s="31">
        <v>51.94</v>
      </c>
      <c r="I743" s="31">
        <v>8.19</v>
      </c>
      <c r="J743" s="31">
        <v>35.56</v>
      </c>
      <c r="K743" s="114">
        <f>H743-(I743+J743)</f>
        <v>8.1899999999999977</v>
      </c>
      <c r="L743" s="115"/>
      <c r="M743" s="72">
        <f t="shared" si="19"/>
        <v>0</v>
      </c>
      <c r="O743" s="72"/>
    </row>
    <row r="744" spans="1:15">
      <c r="A744" s="28" t="s">
        <v>303</v>
      </c>
      <c r="B744" s="175"/>
      <c r="C744" s="116" t="s">
        <v>163</v>
      </c>
      <c r="D744" s="134">
        <f>2.225</f>
        <v>2.2250000000000001</v>
      </c>
      <c r="E744" s="118">
        <f>1.4</f>
        <v>1.4</v>
      </c>
      <c r="F744" s="72">
        <v>3.1</v>
      </c>
      <c r="G744" s="31">
        <v>7.25</v>
      </c>
      <c r="H744" s="117">
        <v>20.3</v>
      </c>
      <c r="I744" s="29"/>
      <c r="J744" s="117">
        <v>10.15</v>
      </c>
      <c r="L744" s="117">
        <f>H744-(I744+J744+K744)</f>
        <v>10.15</v>
      </c>
      <c r="M744" s="72">
        <f t="shared" si="19"/>
        <v>0</v>
      </c>
      <c r="O744" s="117"/>
    </row>
    <row r="745" spans="1:15">
      <c r="A745" s="28" t="s">
        <v>304</v>
      </c>
      <c r="C745" s="28" t="s">
        <v>291</v>
      </c>
      <c r="D745" s="31">
        <f>6.35</f>
        <v>6.35</v>
      </c>
      <c r="E745" s="124">
        <f>2.925</f>
        <v>2.9249999999999998</v>
      </c>
      <c r="F745" s="72">
        <v>14.75</v>
      </c>
      <c r="G745" s="31">
        <v>18.55</v>
      </c>
      <c r="H745" s="31">
        <v>51.94</v>
      </c>
      <c r="I745" s="31">
        <v>8.19</v>
      </c>
      <c r="J745" s="31">
        <v>35.56</v>
      </c>
      <c r="K745" s="114">
        <f>H745-(I745+J745)</f>
        <v>8.1899999999999977</v>
      </c>
      <c r="L745" s="115"/>
      <c r="M745" s="72">
        <f t="shared" si="19"/>
        <v>0</v>
      </c>
      <c r="O745" s="72"/>
    </row>
    <row r="746" spans="1:15">
      <c r="A746" s="28" t="s">
        <v>305</v>
      </c>
      <c r="C746" s="116" t="s">
        <v>163</v>
      </c>
      <c r="D746" s="134">
        <f>2.225</f>
        <v>2.2250000000000001</v>
      </c>
      <c r="E746" s="118">
        <f>1.4</f>
        <v>1.4</v>
      </c>
      <c r="F746" s="72">
        <v>3.1</v>
      </c>
      <c r="G746" s="31">
        <v>7.25</v>
      </c>
      <c r="H746" s="117">
        <v>20.3</v>
      </c>
      <c r="I746" s="29"/>
      <c r="J746" s="117">
        <v>10.15</v>
      </c>
      <c r="L746" s="117">
        <f>H746-(I746+J746+K746)</f>
        <v>10.15</v>
      </c>
      <c r="M746" s="72">
        <f t="shared" si="19"/>
        <v>0</v>
      </c>
      <c r="O746" s="117"/>
    </row>
    <row r="747" spans="1:15">
      <c r="A747" s="28" t="s">
        <v>306</v>
      </c>
      <c r="B747" s="175"/>
      <c r="C747" s="28" t="s">
        <v>291</v>
      </c>
      <c r="D747" s="31">
        <f>6.35</f>
        <v>6.35</v>
      </c>
      <c r="E747" s="124">
        <f>2.925</f>
        <v>2.9249999999999998</v>
      </c>
      <c r="F747" s="72">
        <v>14.75</v>
      </c>
      <c r="G747" s="31">
        <v>18.55</v>
      </c>
      <c r="H747" s="31">
        <v>51.94</v>
      </c>
      <c r="I747" s="31">
        <v>8.19</v>
      </c>
      <c r="J747" s="31">
        <v>35.56</v>
      </c>
      <c r="K747" s="114">
        <f>H747-(I747+J747)</f>
        <v>8.1899999999999977</v>
      </c>
      <c r="L747" s="115"/>
      <c r="M747" s="72">
        <f t="shared" si="19"/>
        <v>0</v>
      </c>
      <c r="O747" s="72"/>
    </row>
    <row r="748" spans="1:15">
      <c r="A748" s="28" t="s">
        <v>307</v>
      </c>
      <c r="B748" s="175"/>
      <c r="C748" s="116" t="s">
        <v>163</v>
      </c>
      <c r="D748" s="134">
        <f>2.225</f>
        <v>2.2250000000000001</v>
      </c>
      <c r="E748" s="118">
        <f>1.4</f>
        <v>1.4</v>
      </c>
      <c r="F748" s="72">
        <v>3.1</v>
      </c>
      <c r="G748" s="31">
        <v>7.25</v>
      </c>
      <c r="H748" s="117">
        <v>20.3</v>
      </c>
      <c r="I748" s="29"/>
      <c r="J748" s="117">
        <v>10.15</v>
      </c>
      <c r="L748" s="117">
        <f>H748-(I748+J748+K748)</f>
        <v>10.15</v>
      </c>
      <c r="M748" s="72">
        <f t="shared" si="19"/>
        <v>0</v>
      </c>
      <c r="O748" s="117"/>
    </row>
    <row r="749" spans="1:15">
      <c r="A749" s="28" t="s">
        <v>308</v>
      </c>
      <c r="B749" s="175"/>
      <c r="C749" s="28" t="s">
        <v>291</v>
      </c>
      <c r="D749" s="31">
        <f>6.35</f>
        <v>6.35</v>
      </c>
      <c r="E749" s="124">
        <f>2.925</f>
        <v>2.9249999999999998</v>
      </c>
      <c r="F749" s="72">
        <v>14.75</v>
      </c>
      <c r="G749" s="31">
        <v>18.55</v>
      </c>
      <c r="H749" s="31">
        <v>51.94</v>
      </c>
      <c r="I749" s="31">
        <v>8.19</v>
      </c>
      <c r="J749" s="31">
        <v>35.56</v>
      </c>
      <c r="K749" s="114">
        <f>H749-(I749+J749)</f>
        <v>8.1899999999999977</v>
      </c>
      <c r="L749" s="115"/>
      <c r="M749" s="72">
        <f t="shared" si="19"/>
        <v>0</v>
      </c>
      <c r="O749" s="72"/>
    </row>
    <row r="750" spans="1:15">
      <c r="A750" s="28" t="s">
        <v>309</v>
      </c>
      <c r="B750" s="175"/>
      <c r="C750" s="116" t="s">
        <v>163</v>
      </c>
      <c r="D750" s="134">
        <f>2.225</f>
        <v>2.2250000000000001</v>
      </c>
      <c r="E750" s="118">
        <f>1.4</f>
        <v>1.4</v>
      </c>
      <c r="F750" s="72">
        <v>3.1</v>
      </c>
      <c r="G750" s="31">
        <v>7.25</v>
      </c>
      <c r="H750" s="117">
        <v>20.3</v>
      </c>
      <c r="I750" s="29"/>
      <c r="J750" s="117">
        <v>10.15</v>
      </c>
      <c r="L750" s="117">
        <f>H750-(I750+J750+K750)</f>
        <v>10.15</v>
      </c>
      <c r="M750" s="72">
        <f t="shared" si="19"/>
        <v>0</v>
      </c>
      <c r="O750" s="117"/>
    </row>
    <row r="751" spans="1:15">
      <c r="A751" s="28" t="s">
        <v>310</v>
      </c>
      <c r="B751" s="175"/>
      <c r="C751" s="28" t="s">
        <v>291</v>
      </c>
      <c r="D751" s="31">
        <f>6.35</f>
        <v>6.35</v>
      </c>
      <c r="E751" s="124">
        <f>2.925</f>
        <v>2.9249999999999998</v>
      </c>
      <c r="F751" s="72">
        <v>14.75</v>
      </c>
      <c r="G751" s="31">
        <v>18.55</v>
      </c>
      <c r="H751" s="31">
        <v>51.94</v>
      </c>
      <c r="I751" s="31">
        <v>8.19</v>
      </c>
      <c r="J751" s="31">
        <v>35.56</v>
      </c>
      <c r="K751" s="114">
        <f>H751-(I751+J751)</f>
        <v>8.1899999999999977</v>
      </c>
      <c r="L751" s="115"/>
      <c r="M751" s="72">
        <f t="shared" si="19"/>
        <v>0</v>
      </c>
      <c r="O751" s="72"/>
    </row>
    <row r="752" spans="1:15">
      <c r="A752" s="28" t="s">
        <v>311</v>
      </c>
      <c r="B752" s="175"/>
      <c r="C752" s="116" t="s">
        <v>163</v>
      </c>
      <c r="D752" s="134">
        <f>2.225</f>
        <v>2.2250000000000001</v>
      </c>
      <c r="E752" s="118">
        <f>1.4</f>
        <v>1.4</v>
      </c>
      <c r="F752" s="72">
        <v>3.1</v>
      </c>
      <c r="G752" s="31">
        <v>7.25</v>
      </c>
      <c r="H752" s="117">
        <v>20.3</v>
      </c>
      <c r="I752" s="29"/>
      <c r="J752" s="117">
        <v>10.15</v>
      </c>
      <c r="L752" s="117">
        <f>H752-(I752+J752+K752)</f>
        <v>10.15</v>
      </c>
      <c r="M752" s="72">
        <f t="shared" si="19"/>
        <v>0</v>
      </c>
      <c r="O752" s="117"/>
    </row>
    <row r="753" spans="1:15">
      <c r="A753" s="28" t="s">
        <v>312</v>
      </c>
      <c r="B753" s="167"/>
      <c r="C753" s="28" t="s">
        <v>313</v>
      </c>
      <c r="D753" s="31">
        <f>3.2</f>
        <v>3.2</v>
      </c>
      <c r="E753" s="73">
        <f>0.6</f>
        <v>0.6</v>
      </c>
      <c r="F753" s="72">
        <v>1.9</v>
      </c>
      <c r="G753" s="31">
        <v>7.6</v>
      </c>
      <c r="H753" s="31">
        <v>21.28</v>
      </c>
      <c r="I753" s="31">
        <v>1.68</v>
      </c>
      <c r="J753" s="31">
        <v>17.920000000000002</v>
      </c>
      <c r="K753" s="114">
        <f>H753-(I753+J753)</f>
        <v>1.6799999999999997</v>
      </c>
      <c r="L753" s="115"/>
      <c r="M753" s="72">
        <f t="shared" si="19"/>
        <v>0</v>
      </c>
      <c r="O753" s="72"/>
    </row>
    <row r="754" spans="1:15">
      <c r="A754" s="29"/>
      <c r="B754" s="167"/>
      <c r="C754" s="107" t="s">
        <v>314</v>
      </c>
      <c r="D754" s="29"/>
      <c r="E754" s="29"/>
      <c r="H754" s="29"/>
      <c r="I754" s="29"/>
      <c r="M754" s="72">
        <f t="shared" si="19"/>
        <v>0</v>
      </c>
    </row>
    <row r="755" spans="1:15">
      <c r="A755" s="28" t="s">
        <v>315</v>
      </c>
      <c r="B755" s="194"/>
      <c r="C755" s="116" t="s">
        <v>275</v>
      </c>
      <c r="D755" s="117">
        <f>4.32</f>
        <v>4.32</v>
      </c>
      <c r="E755" s="122">
        <f>2.825</f>
        <v>2.8250000000000002</v>
      </c>
      <c r="F755" s="31">
        <v>12.2</v>
      </c>
      <c r="G755" s="31">
        <v>14.29</v>
      </c>
      <c r="H755" s="117">
        <v>40.012</v>
      </c>
      <c r="I755" s="117" t="e">
        <f>NA()</f>
        <v>#N/A</v>
      </c>
      <c r="J755" s="117">
        <v>24.192</v>
      </c>
      <c r="K755" s="114"/>
      <c r="L755" s="117" t="e">
        <f>H755-(I755+J755+K755)</f>
        <v>#N/A</v>
      </c>
      <c r="M755" s="72" t="e">
        <f t="shared" si="19"/>
        <v>#N/A</v>
      </c>
      <c r="O755" s="72"/>
    </row>
    <row r="756" spans="1:15">
      <c r="A756" s="28" t="s">
        <v>316</v>
      </c>
      <c r="B756" s="175"/>
      <c r="C756" s="28" t="s">
        <v>282</v>
      </c>
      <c r="D756" s="73">
        <f>6.2</f>
        <v>6.2</v>
      </c>
      <c r="E756" s="73">
        <f>6</f>
        <v>6</v>
      </c>
      <c r="F756" s="72">
        <v>26</v>
      </c>
      <c r="G756" s="31">
        <v>24.4</v>
      </c>
      <c r="H756" s="31">
        <v>68.319999999999993</v>
      </c>
      <c r="I756" s="31">
        <v>16.8</v>
      </c>
      <c r="J756" s="31">
        <v>34.72</v>
      </c>
      <c r="K756" s="114">
        <f>H756-(I756+J756)</f>
        <v>16.799999999999997</v>
      </c>
      <c r="L756" s="115"/>
      <c r="M756" s="72">
        <f t="shared" si="19"/>
        <v>0</v>
      </c>
      <c r="O756" s="72"/>
    </row>
    <row r="757" spans="1:15">
      <c r="A757" s="28" t="s">
        <v>317</v>
      </c>
      <c r="B757" s="175"/>
      <c r="C757" s="116" t="s">
        <v>163</v>
      </c>
      <c r="D757" s="117">
        <f>2.85</f>
        <v>2.85</v>
      </c>
      <c r="E757" s="118">
        <f>2.2</f>
        <v>2.2000000000000002</v>
      </c>
      <c r="F757" s="72">
        <v>6.3</v>
      </c>
      <c r="G757" s="31">
        <v>10.1</v>
      </c>
      <c r="H757" s="117">
        <v>28.28</v>
      </c>
      <c r="I757" s="29"/>
      <c r="J757" s="117">
        <v>14.14</v>
      </c>
      <c r="L757" s="117">
        <f>H757-(I757+J757+K757)</f>
        <v>14.14</v>
      </c>
      <c r="M757" s="72">
        <f t="shared" si="19"/>
        <v>0</v>
      </c>
      <c r="O757" s="117"/>
    </row>
    <row r="758" spans="1:15">
      <c r="A758" s="28" t="s">
        <v>318</v>
      </c>
      <c r="B758" s="175"/>
      <c r="C758" s="28" t="s">
        <v>291</v>
      </c>
      <c r="D758" s="73">
        <f>6.2</f>
        <v>6.2</v>
      </c>
      <c r="E758" s="124">
        <f>2.925</f>
        <v>2.9249999999999998</v>
      </c>
      <c r="F758" s="72">
        <v>14.75</v>
      </c>
      <c r="G758" s="31">
        <v>18.25</v>
      </c>
      <c r="H758" s="31">
        <v>51.1</v>
      </c>
      <c r="I758" s="31">
        <v>8.19</v>
      </c>
      <c r="J758" s="31">
        <v>34.72</v>
      </c>
      <c r="K758" s="114">
        <f>H758-(I758+J758)</f>
        <v>8.1900000000000048</v>
      </c>
      <c r="L758" s="115"/>
      <c r="M758" s="72">
        <f t="shared" si="19"/>
        <v>0</v>
      </c>
      <c r="O758" s="72"/>
    </row>
    <row r="759" spans="1:15">
      <c r="A759" s="28" t="s">
        <v>319</v>
      </c>
      <c r="B759" s="175"/>
      <c r="C759" s="116" t="s">
        <v>163</v>
      </c>
      <c r="D759" s="134">
        <f>2.225</f>
        <v>2.2250000000000001</v>
      </c>
      <c r="E759" s="118">
        <f>1.4</f>
        <v>1.4</v>
      </c>
      <c r="F759" s="72">
        <v>3.1</v>
      </c>
      <c r="G759" s="31">
        <v>7.25</v>
      </c>
      <c r="H759" s="117">
        <v>20.3</v>
      </c>
      <c r="I759" s="29"/>
      <c r="J759" s="117">
        <v>10.15</v>
      </c>
      <c r="L759" s="117">
        <f>H759-(I759+J759+K759)</f>
        <v>10.15</v>
      </c>
      <c r="M759" s="72">
        <f t="shared" si="19"/>
        <v>0</v>
      </c>
      <c r="O759" s="117"/>
    </row>
    <row r="760" spans="1:15">
      <c r="A760" s="28" t="s">
        <v>320</v>
      </c>
      <c r="B760" s="175"/>
      <c r="C760" s="28" t="s">
        <v>294</v>
      </c>
      <c r="D760" s="73">
        <f>6.2</f>
        <v>6.2</v>
      </c>
      <c r="E760" s="124">
        <f>2.925</f>
        <v>2.9249999999999998</v>
      </c>
      <c r="F760" s="72">
        <v>14.75</v>
      </c>
      <c r="G760" s="31">
        <v>18.25</v>
      </c>
      <c r="H760" s="31">
        <v>51.1</v>
      </c>
      <c r="I760" s="31">
        <v>8.19</v>
      </c>
      <c r="J760" s="31">
        <v>34.72</v>
      </c>
      <c r="K760" s="114">
        <f>H760-(I760+J760)</f>
        <v>8.1900000000000048</v>
      </c>
      <c r="L760" s="115"/>
      <c r="M760" s="72">
        <f t="shared" si="19"/>
        <v>0</v>
      </c>
      <c r="O760" s="72"/>
    </row>
    <row r="761" spans="1:15">
      <c r="A761" s="28" t="s">
        <v>321</v>
      </c>
      <c r="B761" s="175"/>
      <c r="C761" s="116" t="s">
        <v>163</v>
      </c>
      <c r="D761" s="134">
        <f>2.225</f>
        <v>2.2250000000000001</v>
      </c>
      <c r="E761" s="118">
        <f>1.4</f>
        <v>1.4</v>
      </c>
      <c r="F761" s="72">
        <v>3.1</v>
      </c>
      <c r="G761" s="31">
        <v>7.25</v>
      </c>
      <c r="H761" s="117">
        <v>20.3</v>
      </c>
      <c r="I761" s="29"/>
      <c r="J761" s="117">
        <v>10.15</v>
      </c>
      <c r="L761" s="117">
        <f>H761-(I761+J761+K761)</f>
        <v>10.15</v>
      </c>
      <c r="M761" s="72">
        <f t="shared" si="19"/>
        <v>0</v>
      </c>
      <c r="O761" s="117"/>
    </row>
    <row r="762" spans="1:15">
      <c r="A762" s="28" t="s">
        <v>322</v>
      </c>
      <c r="B762" s="175"/>
      <c r="C762" s="28" t="s">
        <v>291</v>
      </c>
      <c r="D762" s="73">
        <f>6.2</f>
        <v>6.2</v>
      </c>
      <c r="E762" s="124">
        <f>2.925</f>
        <v>2.9249999999999998</v>
      </c>
      <c r="F762" s="72">
        <v>14.75</v>
      </c>
      <c r="G762" s="31">
        <v>18.25</v>
      </c>
      <c r="H762" s="31">
        <v>51.1</v>
      </c>
      <c r="I762" s="31">
        <v>8.19</v>
      </c>
      <c r="J762" s="31">
        <v>34.72</v>
      </c>
      <c r="K762" s="114">
        <f>H762-(I762+J762)</f>
        <v>8.1900000000000048</v>
      </c>
      <c r="L762" s="115"/>
      <c r="M762" s="72">
        <f t="shared" si="19"/>
        <v>0</v>
      </c>
      <c r="O762" s="72"/>
    </row>
    <row r="763" spans="1:15">
      <c r="A763" s="28" t="s">
        <v>323</v>
      </c>
      <c r="B763" s="175"/>
      <c r="C763" s="116" t="s">
        <v>163</v>
      </c>
      <c r="D763" s="134">
        <f>2.225</f>
        <v>2.2250000000000001</v>
      </c>
      <c r="E763" s="118">
        <f>1.4</f>
        <v>1.4</v>
      </c>
      <c r="F763" s="72">
        <v>3.1</v>
      </c>
      <c r="G763" s="31">
        <v>7.25</v>
      </c>
      <c r="H763" s="117">
        <v>20.3</v>
      </c>
      <c r="I763" s="29"/>
      <c r="J763" s="117">
        <v>10.15</v>
      </c>
      <c r="L763" s="117">
        <f>H763-(I763+J763+K763)</f>
        <v>10.15</v>
      </c>
      <c r="M763" s="72">
        <f t="shared" si="19"/>
        <v>0</v>
      </c>
      <c r="O763" s="117"/>
    </row>
    <row r="764" spans="1:15">
      <c r="A764" s="28" t="s">
        <v>324</v>
      </c>
      <c r="B764" s="175"/>
      <c r="C764" s="28" t="s">
        <v>294</v>
      </c>
      <c r="D764" s="73">
        <f>6.2</f>
        <v>6.2</v>
      </c>
      <c r="E764" s="124">
        <f>2.925</f>
        <v>2.9249999999999998</v>
      </c>
      <c r="F764" s="72">
        <v>14.75</v>
      </c>
      <c r="G764" s="31">
        <v>18.25</v>
      </c>
      <c r="H764" s="31">
        <v>51.1</v>
      </c>
      <c r="I764" s="31">
        <v>8.19</v>
      </c>
      <c r="J764" s="31">
        <v>34.72</v>
      </c>
      <c r="K764" s="114">
        <f>H764-(I764+J764)</f>
        <v>8.1900000000000048</v>
      </c>
      <c r="L764" s="115"/>
      <c r="M764" s="72">
        <f t="shared" si="19"/>
        <v>0</v>
      </c>
      <c r="O764" s="72"/>
    </row>
    <row r="765" spans="1:15">
      <c r="A765" s="28" t="s">
        <v>325</v>
      </c>
      <c r="B765" s="175"/>
      <c r="C765" s="116" t="s">
        <v>163</v>
      </c>
      <c r="D765" s="134">
        <f>2.225</f>
        <v>2.2250000000000001</v>
      </c>
      <c r="E765" s="118">
        <f>1.4</f>
        <v>1.4</v>
      </c>
      <c r="F765" s="72">
        <v>3.1</v>
      </c>
      <c r="G765" s="31">
        <v>7.25</v>
      </c>
      <c r="H765" s="117">
        <v>20.3</v>
      </c>
      <c r="I765" s="29"/>
      <c r="J765" s="117">
        <v>10.15</v>
      </c>
      <c r="L765" s="117">
        <f>H765-(I765+J765+K765)</f>
        <v>10.15</v>
      </c>
      <c r="M765" s="72">
        <f t="shared" si="19"/>
        <v>0</v>
      </c>
      <c r="O765" s="117"/>
    </row>
    <row r="766" spans="1:15">
      <c r="A766" s="28" t="s">
        <v>326</v>
      </c>
      <c r="B766" s="175"/>
      <c r="C766" s="28" t="s">
        <v>294</v>
      </c>
      <c r="D766" s="73">
        <f>6.2</f>
        <v>6.2</v>
      </c>
      <c r="E766" s="124">
        <f>2.925</f>
        <v>2.9249999999999998</v>
      </c>
      <c r="F766" s="72">
        <v>13.75</v>
      </c>
      <c r="G766" s="31">
        <v>18.25</v>
      </c>
      <c r="H766" s="31">
        <v>51.1</v>
      </c>
      <c r="I766" s="31">
        <v>8.19</v>
      </c>
      <c r="J766" s="31">
        <v>34.72</v>
      </c>
      <c r="K766" s="114">
        <f>H766-(I766+J766)</f>
        <v>8.1900000000000048</v>
      </c>
      <c r="L766" s="115"/>
      <c r="M766" s="72">
        <f t="shared" si="19"/>
        <v>0</v>
      </c>
      <c r="O766" s="72"/>
    </row>
    <row r="767" spans="1:15">
      <c r="A767" s="28" t="s">
        <v>327</v>
      </c>
      <c r="B767" s="175"/>
      <c r="C767" s="116" t="s">
        <v>163</v>
      </c>
      <c r="D767" s="134">
        <f>2.225</f>
        <v>2.2250000000000001</v>
      </c>
      <c r="E767" s="118">
        <f>1.4</f>
        <v>1.4</v>
      </c>
      <c r="F767" s="72">
        <v>3.1</v>
      </c>
      <c r="G767" s="31">
        <v>7.25</v>
      </c>
      <c r="H767" s="117">
        <v>20.3</v>
      </c>
      <c r="I767" s="29"/>
      <c r="J767" s="117">
        <v>10.15</v>
      </c>
      <c r="L767" s="117">
        <f>H767-(I767+J767+K767)</f>
        <v>10.15</v>
      </c>
      <c r="M767" s="72">
        <f t="shared" si="19"/>
        <v>0</v>
      </c>
      <c r="O767" s="117"/>
    </row>
    <row r="768" spans="1:15">
      <c r="A768" s="28" t="s">
        <v>328</v>
      </c>
      <c r="B768" s="175"/>
      <c r="C768" s="28" t="s">
        <v>294</v>
      </c>
      <c r="D768" s="73">
        <f>6.2</f>
        <v>6.2</v>
      </c>
      <c r="E768" s="124">
        <f>2.925</f>
        <v>2.9249999999999998</v>
      </c>
      <c r="F768" s="72">
        <v>13.75</v>
      </c>
      <c r="G768" s="31">
        <v>18.25</v>
      </c>
      <c r="H768" s="31">
        <v>51.1</v>
      </c>
      <c r="I768" s="31">
        <v>8.19</v>
      </c>
      <c r="J768" s="31">
        <v>34.72</v>
      </c>
      <c r="K768" s="114">
        <f>H768-(I768+J768)</f>
        <v>8.1900000000000048</v>
      </c>
      <c r="L768" s="115"/>
      <c r="M768" s="72">
        <f t="shared" ref="M768:M780" si="20">H768-(I768+J768+K768+L768)</f>
        <v>0</v>
      </c>
      <c r="O768" s="72"/>
    </row>
    <row r="769" spans="1:16">
      <c r="A769" s="28" t="s">
        <v>329</v>
      </c>
      <c r="B769" s="175"/>
      <c r="C769" s="116" t="s">
        <v>163</v>
      </c>
      <c r="D769" s="134">
        <f>2.225</f>
        <v>2.2250000000000001</v>
      </c>
      <c r="E769" s="118">
        <f>1.4</f>
        <v>1.4</v>
      </c>
      <c r="F769" s="72">
        <v>3.1</v>
      </c>
      <c r="G769" s="31">
        <v>7.25</v>
      </c>
      <c r="H769" s="117">
        <v>20.3</v>
      </c>
      <c r="I769" s="29"/>
      <c r="J769" s="117">
        <v>10.15</v>
      </c>
      <c r="L769" s="117">
        <f>H769-(I769+J769+K769)</f>
        <v>10.15</v>
      </c>
      <c r="M769" s="72">
        <f t="shared" si="20"/>
        <v>0</v>
      </c>
      <c r="O769" s="117"/>
    </row>
    <row r="770" spans="1:16">
      <c r="A770" s="28" t="s">
        <v>330</v>
      </c>
      <c r="B770" s="175"/>
      <c r="C770" s="28" t="s">
        <v>282</v>
      </c>
      <c r="D770" s="73">
        <f>6.2</f>
        <v>6.2</v>
      </c>
      <c r="E770" s="73">
        <f>4.5</f>
        <v>4.5</v>
      </c>
      <c r="F770" s="72">
        <v>23.9</v>
      </c>
      <c r="G770" s="31">
        <v>21.4</v>
      </c>
      <c r="H770" s="31">
        <v>59.92</v>
      </c>
      <c r="I770" s="31">
        <v>12.6</v>
      </c>
      <c r="J770" s="31">
        <v>34.72</v>
      </c>
      <c r="K770" s="114">
        <f>H770-(I770+J770)</f>
        <v>12.600000000000001</v>
      </c>
      <c r="L770" s="115"/>
      <c r="M770" s="72">
        <f t="shared" si="20"/>
        <v>0</v>
      </c>
      <c r="O770" s="72"/>
    </row>
    <row r="771" spans="1:16">
      <c r="A771" s="28" t="s">
        <v>331</v>
      </c>
      <c r="B771" s="175"/>
      <c r="C771" s="116" t="s">
        <v>163</v>
      </c>
      <c r="D771" s="134">
        <f>2.225</f>
        <v>2.2250000000000001</v>
      </c>
      <c r="E771" s="118">
        <f>1.8</f>
        <v>1.8</v>
      </c>
      <c r="F771" s="72">
        <v>4</v>
      </c>
      <c r="G771" s="31">
        <v>8.0500000000000007</v>
      </c>
      <c r="H771" s="117">
        <v>22.54</v>
      </c>
      <c r="I771" s="29"/>
      <c r="J771" s="117">
        <v>11.27</v>
      </c>
      <c r="L771" s="117">
        <f>H771-(I771+J771+K771)</f>
        <v>11.27</v>
      </c>
      <c r="M771" s="72">
        <f t="shared" si="20"/>
        <v>0</v>
      </c>
      <c r="O771" s="117"/>
    </row>
    <row r="772" spans="1:16">
      <c r="A772" s="28" t="s">
        <v>332</v>
      </c>
      <c r="B772" s="175"/>
      <c r="C772" s="28" t="s">
        <v>282</v>
      </c>
      <c r="D772" s="73">
        <f>6.2</f>
        <v>6.2</v>
      </c>
      <c r="E772" s="73">
        <f>4.5</f>
        <v>4.5</v>
      </c>
      <c r="F772" s="72">
        <v>24</v>
      </c>
      <c r="G772" s="31">
        <v>21.4</v>
      </c>
      <c r="H772" s="31">
        <v>59.92</v>
      </c>
      <c r="I772" s="31">
        <v>12.6</v>
      </c>
      <c r="J772" s="31">
        <v>34.72</v>
      </c>
      <c r="K772" s="114">
        <f>H772-(I772+J772)</f>
        <v>12.600000000000001</v>
      </c>
      <c r="L772" s="115"/>
      <c r="M772" s="72">
        <f t="shared" si="20"/>
        <v>0</v>
      </c>
      <c r="O772" s="72"/>
    </row>
    <row r="773" spans="1:16">
      <c r="A773" s="28" t="s">
        <v>333</v>
      </c>
      <c r="B773" s="175"/>
      <c r="C773" s="116" t="s">
        <v>163</v>
      </c>
      <c r="D773" s="134">
        <f>2.225</f>
        <v>2.2250000000000001</v>
      </c>
      <c r="E773" s="118">
        <f>1.8</f>
        <v>1.8</v>
      </c>
      <c r="F773" s="72">
        <v>4</v>
      </c>
      <c r="G773" s="31">
        <v>8.0500000000000007</v>
      </c>
      <c r="H773" s="117">
        <v>22.54</v>
      </c>
      <c r="I773" s="29"/>
      <c r="J773" s="117">
        <v>11.27</v>
      </c>
      <c r="L773" s="117">
        <f>H773-(I773+J773+K773)</f>
        <v>11.27</v>
      </c>
      <c r="M773" s="72">
        <f t="shared" si="20"/>
        <v>0</v>
      </c>
      <c r="O773" s="117"/>
    </row>
    <row r="774" spans="1:16">
      <c r="A774" s="28" t="s">
        <v>334</v>
      </c>
      <c r="B774" s="175"/>
      <c r="C774" s="28" t="s">
        <v>282</v>
      </c>
      <c r="D774" s="73">
        <f>6.2</f>
        <v>6.2</v>
      </c>
      <c r="E774" s="73">
        <f>4.5</f>
        <v>4.5</v>
      </c>
      <c r="F774" s="72">
        <v>24</v>
      </c>
      <c r="G774" s="31">
        <v>21.4</v>
      </c>
      <c r="H774" s="31">
        <v>59.92</v>
      </c>
      <c r="I774" s="31">
        <v>12.6</v>
      </c>
      <c r="J774" s="31">
        <v>34.72</v>
      </c>
      <c r="K774" s="114">
        <f>H774-(I774+J774)</f>
        <v>12.600000000000001</v>
      </c>
      <c r="L774" s="115"/>
      <c r="M774" s="72">
        <f t="shared" si="20"/>
        <v>0</v>
      </c>
      <c r="O774" s="72"/>
    </row>
    <row r="775" spans="1:16">
      <c r="A775" s="28" t="s">
        <v>335</v>
      </c>
      <c r="B775" s="175"/>
      <c r="C775" s="116" t="s">
        <v>163</v>
      </c>
      <c r="D775" s="134">
        <f>2.225</f>
        <v>2.2250000000000001</v>
      </c>
      <c r="E775" s="118">
        <f>1.8</f>
        <v>1.8</v>
      </c>
      <c r="F775" s="72">
        <v>4</v>
      </c>
      <c r="G775" s="31">
        <v>8.0500000000000007</v>
      </c>
      <c r="H775" s="117">
        <v>22.54</v>
      </c>
      <c r="I775" s="29"/>
      <c r="J775" s="117">
        <v>11.27</v>
      </c>
      <c r="L775" s="117">
        <f>H775-(I775+J775+K775)</f>
        <v>11.27</v>
      </c>
      <c r="M775" s="72">
        <f t="shared" si="20"/>
        <v>0</v>
      </c>
      <c r="O775" s="117"/>
    </row>
    <row r="776" spans="1:16">
      <c r="A776" s="28" t="s">
        <v>336</v>
      </c>
      <c r="B776" s="175"/>
      <c r="C776" s="28" t="s">
        <v>282</v>
      </c>
      <c r="D776" s="73">
        <f>6.2</f>
        <v>6.2</v>
      </c>
      <c r="E776" s="73">
        <f>4.5</f>
        <v>4.5</v>
      </c>
      <c r="F776" s="72">
        <v>24</v>
      </c>
      <c r="G776" s="31">
        <v>21.4</v>
      </c>
      <c r="H776" s="31">
        <v>59.92</v>
      </c>
      <c r="I776" s="31">
        <v>12.6</v>
      </c>
      <c r="J776" s="31">
        <v>34.72</v>
      </c>
      <c r="K776" s="114">
        <f>H776-(I776+J776)</f>
        <v>12.600000000000001</v>
      </c>
      <c r="L776" s="115"/>
      <c r="M776" s="72">
        <f t="shared" si="20"/>
        <v>0</v>
      </c>
      <c r="O776" s="72"/>
    </row>
    <row r="777" spans="1:16">
      <c r="A777" s="28" t="s">
        <v>337</v>
      </c>
      <c r="B777" s="175"/>
      <c r="C777" s="116" t="s">
        <v>163</v>
      </c>
      <c r="D777" s="134">
        <f>2.225</f>
        <v>2.2250000000000001</v>
      </c>
      <c r="E777" s="118">
        <f>1.8</f>
        <v>1.8</v>
      </c>
      <c r="F777" s="72">
        <v>4</v>
      </c>
      <c r="G777" s="31">
        <v>8.0500000000000007</v>
      </c>
      <c r="H777" s="117">
        <v>22.54</v>
      </c>
      <c r="I777" s="29"/>
      <c r="J777" s="117">
        <v>11.27</v>
      </c>
      <c r="L777" s="117">
        <f>H777-(I777+J777+K777)</f>
        <v>11.27</v>
      </c>
      <c r="M777" s="72">
        <f t="shared" si="20"/>
        <v>0</v>
      </c>
      <c r="O777" s="117"/>
    </row>
    <row r="778" spans="1:16">
      <c r="A778" s="28" t="s">
        <v>338</v>
      </c>
      <c r="B778" s="175"/>
      <c r="C778" s="28" t="s">
        <v>282</v>
      </c>
      <c r="D778" s="73">
        <f>6.2</f>
        <v>6.2</v>
      </c>
      <c r="E778" s="73">
        <f>4.5</f>
        <v>4.5</v>
      </c>
      <c r="F778" s="72">
        <v>24</v>
      </c>
      <c r="G778" s="31">
        <v>21.4</v>
      </c>
      <c r="H778" s="31">
        <v>59.92</v>
      </c>
      <c r="I778" s="31">
        <v>12.6</v>
      </c>
      <c r="J778" s="31">
        <v>34.72</v>
      </c>
      <c r="K778" s="114">
        <f>H778-(I778+J778)</f>
        <v>12.600000000000001</v>
      </c>
      <c r="L778" s="115"/>
      <c r="M778" s="72">
        <f t="shared" si="20"/>
        <v>0</v>
      </c>
      <c r="O778" s="72"/>
    </row>
    <row r="779" spans="1:16">
      <c r="A779" s="28" t="s">
        <v>339</v>
      </c>
      <c r="B779" s="175"/>
      <c r="C779" s="116" t="s">
        <v>163</v>
      </c>
      <c r="D779" s="134">
        <f>2.225</f>
        <v>2.2250000000000001</v>
      </c>
      <c r="E779" s="118">
        <f>1.8</f>
        <v>1.8</v>
      </c>
      <c r="F779" s="72">
        <v>4</v>
      </c>
      <c r="G779" s="31">
        <v>8.0500000000000007</v>
      </c>
      <c r="H779" s="117">
        <v>22.54</v>
      </c>
      <c r="I779" s="29"/>
      <c r="J779" s="117">
        <v>11.27</v>
      </c>
      <c r="L779" s="117">
        <f>H779-(I779+J779+K779)</f>
        <v>11.27</v>
      </c>
      <c r="M779" s="72">
        <f t="shared" si="20"/>
        <v>0</v>
      </c>
      <c r="O779" s="117"/>
    </row>
    <row r="780" spans="1:16">
      <c r="A780" s="28" t="s">
        <v>340</v>
      </c>
      <c r="B780" s="175"/>
      <c r="C780" s="116" t="s">
        <v>266</v>
      </c>
      <c r="D780" s="117">
        <f>2.85</f>
        <v>2.85</v>
      </c>
      <c r="E780" s="118">
        <f>1.35</f>
        <v>1.35</v>
      </c>
      <c r="F780" s="72">
        <v>4</v>
      </c>
      <c r="G780" s="31">
        <v>8.4</v>
      </c>
      <c r="H780" s="117">
        <v>23.52</v>
      </c>
      <c r="I780" s="29"/>
      <c r="J780" s="117">
        <v>11.76</v>
      </c>
      <c r="L780" s="117">
        <f>H780-(I780+J780+K780)</f>
        <v>11.76</v>
      </c>
      <c r="M780" s="72">
        <f t="shared" si="20"/>
        <v>0</v>
      </c>
      <c r="O780" s="117"/>
    </row>
    <row r="781" spans="1:16">
      <c r="A781" s="28" t="s">
        <v>341</v>
      </c>
      <c r="B781" s="175"/>
      <c r="C781" s="28" t="s">
        <v>342</v>
      </c>
      <c r="D781" s="31">
        <f>F781/E781</f>
        <v>1.5</v>
      </c>
      <c r="E781" s="73">
        <f>0.6</f>
        <v>0.6</v>
      </c>
      <c r="F781" s="72">
        <v>0.9</v>
      </c>
      <c r="G781" s="31">
        <v>4.2</v>
      </c>
      <c r="H781" s="31">
        <v>11.76</v>
      </c>
      <c r="I781" s="29"/>
      <c r="J781" s="31">
        <v>4.2</v>
      </c>
      <c r="K781" s="31">
        <f>H781-(I781+J781)</f>
        <v>7.56</v>
      </c>
      <c r="M781" s="72"/>
      <c r="O781" s="117"/>
    </row>
    <row r="782" spans="1:16">
      <c r="A782" s="31">
        <f>2*(D782+E782)+(D783*2+E783)+2*(D784+E784)</f>
        <v>224.9</v>
      </c>
      <c r="B782" s="175"/>
      <c r="C782" s="28" t="str">
        <f>C693</f>
        <v>2, stāva plāns AR-13</v>
      </c>
      <c r="D782" s="125">
        <f>65.9</f>
        <v>65.900000000000006</v>
      </c>
      <c r="E782" s="72">
        <f>15.55</f>
        <v>15.55</v>
      </c>
      <c r="F782" s="113">
        <v>1132.3</v>
      </c>
      <c r="G782" s="31">
        <v>1278.23</v>
      </c>
      <c r="H782" s="31">
        <v>3649.6840000000038</v>
      </c>
      <c r="I782" s="135" t="e">
        <f>NA()</f>
        <v>#N/A</v>
      </c>
      <c r="J782" s="136">
        <v>1595.568</v>
      </c>
      <c r="K782" s="136">
        <f>SUM(K695:K781)</f>
        <v>1085.6900000000005</v>
      </c>
      <c r="L782" s="137" t="e">
        <f>SUM(L695:L781)</f>
        <v>#N/A</v>
      </c>
      <c r="M782" s="72" t="e">
        <f>H782-(I782+J782+K782+L782)</f>
        <v>#N/A</v>
      </c>
      <c r="O782" s="117"/>
      <c r="P782" s="117"/>
    </row>
    <row r="783" spans="1:16">
      <c r="A783" s="31"/>
      <c r="B783" s="175"/>
      <c r="C783" s="129"/>
      <c r="D783" s="125">
        <f>25</f>
        <v>25</v>
      </c>
      <c r="E783" s="73">
        <f>12</f>
        <v>12</v>
      </c>
      <c r="F783" s="31">
        <v>1324.7449999999999</v>
      </c>
      <c r="H783" s="81"/>
      <c r="I783" s="81"/>
      <c r="J783" s="81"/>
      <c r="K783" s="109"/>
      <c r="L783" s="115"/>
      <c r="M783" s="72">
        <f>H783-(I783+J783+K783+L783)</f>
        <v>0</v>
      </c>
      <c r="O783" s="117"/>
      <c r="P783" s="117"/>
    </row>
    <row r="784" spans="1:16">
      <c r="A784" s="31"/>
      <c r="B784" s="175"/>
      <c r="D784" s="125"/>
      <c r="E784" s="73"/>
      <c r="F784" s="81">
        <v>660.8</v>
      </c>
      <c r="G784" s="81">
        <v>683.75</v>
      </c>
      <c r="H784" s="81"/>
      <c r="I784" s="81"/>
      <c r="J784" s="81"/>
      <c r="K784" s="109"/>
      <c r="L784" s="115"/>
      <c r="M784" s="72">
        <f>H784-(I784+J784+K784+L784)</f>
        <v>0</v>
      </c>
      <c r="O784" s="117"/>
      <c r="P784" s="117"/>
    </row>
    <row r="785" spans="1:16">
      <c r="A785" s="31"/>
      <c r="B785" s="175"/>
      <c r="C785" s="129"/>
      <c r="D785" s="125"/>
      <c r="E785" s="132"/>
      <c r="F785" s="72">
        <v>163.55000000000001</v>
      </c>
      <c r="G785" s="72">
        <v>290.08</v>
      </c>
      <c r="H785" s="130">
        <v>824.4639999999996</v>
      </c>
      <c r="I785" s="81"/>
      <c r="J785" s="81"/>
      <c r="K785" s="109"/>
      <c r="L785" s="115"/>
      <c r="M785" s="72"/>
      <c r="O785" s="117"/>
      <c r="P785" s="117"/>
    </row>
    <row r="786" spans="1:16">
      <c r="B786" s="175"/>
      <c r="C786" s="28" t="s">
        <v>343</v>
      </c>
      <c r="E786" s="106"/>
      <c r="F786" s="113"/>
      <c r="I786" s="138">
        <v>3</v>
      </c>
      <c r="M786" s="72"/>
      <c r="O786" s="72"/>
    </row>
    <row r="787" spans="1:16">
      <c r="A787" s="28">
        <f>1</f>
        <v>1</v>
      </c>
      <c r="B787" s="175"/>
      <c r="C787" s="28" t="s">
        <v>253</v>
      </c>
      <c r="D787" s="31">
        <f>5.2</f>
        <v>5.2</v>
      </c>
      <c r="E787" s="73">
        <f>2.75</f>
        <v>2.75</v>
      </c>
      <c r="F787" s="72">
        <v>15.9</v>
      </c>
      <c r="G787" s="31">
        <v>15.9</v>
      </c>
      <c r="H787" s="31">
        <v>47.7</v>
      </c>
      <c r="I787" s="31">
        <v>23.85</v>
      </c>
      <c r="J787" s="31">
        <v>23.85</v>
      </c>
      <c r="L787" s="115"/>
      <c r="M787" s="72">
        <f t="shared" ref="M787:M794" si="21">H787-(I787+J787+K787+L787)</f>
        <v>0</v>
      </c>
      <c r="O787" s="72"/>
    </row>
    <row r="788" spans="1:16">
      <c r="A788" s="29">
        <f>1+A787</f>
        <v>2</v>
      </c>
      <c r="B788" s="175"/>
      <c r="C788" s="28" t="s">
        <v>344</v>
      </c>
      <c r="D788" s="108">
        <f>65.9</f>
        <v>65.900000000000006</v>
      </c>
      <c r="E788" s="73">
        <f>8.5</f>
        <v>8.5</v>
      </c>
      <c r="F788" s="72">
        <v>476.7</v>
      </c>
      <c r="G788" s="31">
        <v>82.9</v>
      </c>
      <c r="H788" s="31">
        <v>248.7</v>
      </c>
      <c r="I788" s="31">
        <v>248.7</v>
      </c>
      <c r="J788" s="109"/>
      <c r="L788" s="72"/>
      <c r="M788" s="72">
        <f t="shared" si="21"/>
        <v>0</v>
      </c>
      <c r="O788" s="72"/>
    </row>
    <row r="789" spans="1:16">
      <c r="A789" s="29">
        <f>1+A788</f>
        <v>3</v>
      </c>
      <c r="B789" s="175"/>
      <c r="C789" s="28" t="s">
        <v>345</v>
      </c>
      <c r="D789" s="108">
        <f>8.175</f>
        <v>8.1750000000000007</v>
      </c>
      <c r="E789" s="73">
        <f>5</f>
        <v>5</v>
      </c>
      <c r="F789" s="72">
        <v>46.3</v>
      </c>
      <c r="G789" s="31">
        <v>26.35</v>
      </c>
      <c r="H789" s="31">
        <v>79.05</v>
      </c>
      <c r="J789" s="109"/>
      <c r="K789" s="31">
        <f>2*(D789+E789)*I$786</f>
        <v>79.050000000000011</v>
      </c>
      <c r="M789" s="72">
        <f t="shared" si="21"/>
        <v>0</v>
      </c>
      <c r="O789" s="72"/>
    </row>
    <row r="790" spans="1:16">
      <c r="A790" s="29">
        <f>1+A789</f>
        <v>4</v>
      </c>
      <c r="B790" s="175"/>
      <c r="C790" s="28" t="s">
        <v>345</v>
      </c>
      <c r="D790" s="108">
        <f>9</f>
        <v>9</v>
      </c>
      <c r="E790" s="73">
        <f>6.35</f>
        <v>6.35</v>
      </c>
      <c r="F790" s="72">
        <v>55.8</v>
      </c>
      <c r="G790" s="31">
        <v>30.7</v>
      </c>
      <c r="H790" s="31">
        <v>92.1</v>
      </c>
      <c r="I790" s="31">
        <v>27</v>
      </c>
      <c r="J790" s="109"/>
      <c r="K790" s="31">
        <f>(D790+E790+D790)*I$786</f>
        <v>73.050000000000011</v>
      </c>
      <c r="M790" s="72">
        <f t="shared" si="21"/>
        <v>-7.9500000000000171</v>
      </c>
    </row>
    <row r="791" spans="1:16">
      <c r="A791" s="29">
        <f>1+A790</f>
        <v>5</v>
      </c>
      <c r="B791" s="175"/>
      <c r="C791" s="28" t="s">
        <v>344</v>
      </c>
      <c r="D791" s="108">
        <f>65.9</f>
        <v>65.900000000000006</v>
      </c>
      <c r="E791" s="73">
        <f>6.2</f>
        <v>6.2</v>
      </c>
      <c r="F791" s="72">
        <v>336.4</v>
      </c>
      <c r="G791" s="31">
        <v>78.3</v>
      </c>
      <c r="H791" s="31">
        <v>247.2</v>
      </c>
      <c r="I791" s="31">
        <v>247.2</v>
      </c>
      <c r="J791" s="109"/>
      <c r="M791" s="72">
        <f t="shared" si="21"/>
        <v>0</v>
      </c>
    </row>
    <row r="792" spans="1:16">
      <c r="A792" s="29">
        <f>1+A791</f>
        <v>6</v>
      </c>
      <c r="B792" s="175"/>
      <c r="C792" s="28" t="s">
        <v>345</v>
      </c>
      <c r="D792" s="31">
        <f>9.45</f>
        <v>9.4499999999999993</v>
      </c>
      <c r="E792" s="73">
        <f>4.9</f>
        <v>4.9000000000000004</v>
      </c>
      <c r="F792" s="72">
        <v>43.9</v>
      </c>
      <c r="G792" s="31">
        <v>28.7</v>
      </c>
      <c r="H792" s="31">
        <v>86.1</v>
      </c>
      <c r="I792" s="31">
        <v>14.7</v>
      </c>
      <c r="J792" s="109"/>
      <c r="K792" s="31">
        <f>(D792+E792+D792)*I$786</f>
        <v>71.399999999999991</v>
      </c>
      <c r="M792" s="72">
        <f t="shared" si="21"/>
        <v>0</v>
      </c>
      <c r="O792" s="72"/>
    </row>
    <row r="793" spans="1:16">
      <c r="A793" s="31">
        <f>2*(D793+E793)+(D794*2+E794)+2*(D795+E795)</f>
        <v>224.9</v>
      </c>
      <c r="B793" s="175"/>
      <c r="C793" s="139" t="str">
        <f>C786</f>
        <v>Bēninu stāva plāns AR-14</v>
      </c>
      <c r="D793" s="125">
        <f>65.9</f>
        <v>65.900000000000006</v>
      </c>
      <c r="E793" s="72">
        <f>15.55</f>
        <v>15.55</v>
      </c>
      <c r="F793" s="31">
        <v>975</v>
      </c>
      <c r="G793" s="31">
        <v>800.85</v>
      </c>
      <c r="H793" s="31">
        <v>564.45000000000005</v>
      </c>
      <c r="I793" s="136">
        <v>564.45000000000005</v>
      </c>
      <c r="J793" s="140">
        <v>23.85</v>
      </c>
      <c r="K793" s="141">
        <f>SUM(K786:K792)</f>
        <v>223.5</v>
      </c>
      <c r="L793" s="117">
        <f>SUM(L786:L792)</f>
        <v>0</v>
      </c>
      <c r="M793" s="72">
        <f t="shared" si="21"/>
        <v>-247.35000000000002</v>
      </c>
      <c r="O793" s="117"/>
    </row>
    <row r="794" spans="1:16">
      <c r="A794" s="70"/>
      <c r="B794" s="175"/>
      <c r="C794" s="70" t="s">
        <v>346</v>
      </c>
      <c r="D794" s="125">
        <f>25</f>
        <v>25</v>
      </c>
      <c r="E794" s="73">
        <f>12</f>
        <v>12</v>
      </c>
      <c r="F794" s="72">
        <v>3366.65</v>
      </c>
      <c r="G794" s="72">
        <v>3303.2212767425808</v>
      </c>
      <c r="H794" s="72" t="e">
        <f>NA()</f>
        <v>#N/A</v>
      </c>
      <c r="I794" s="142" t="e">
        <f>NA()</f>
        <v>#N/A</v>
      </c>
      <c r="J794" s="143" t="e">
        <f>NA()</f>
        <v>#N/A</v>
      </c>
      <c r="K794" s="144" t="e">
        <f>K686+K782+K793</f>
        <v>#N/A</v>
      </c>
      <c r="L794" s="145" t="e">
        <f>L686+L782+L793</f>
        <v>#N/A</v>
      </c>
      <c r="M794" s="72" t="e">
        <f t="shared" si="21"/>
        <v>#N/A</v>
      </c>
      <c r="O794" s="130"/>
      <c r="P794" s="106"/>
    </row>
    <row r="795" spans="1:16">
      <c r="A795" s="70"/>
      <c r="B795" s="175"/>
      <c r="D795" s="71"/>
      <c r="E795" s="72"/>
      <c r="F795" s="81"/>
      <c r="G795" s="81"/>
      <c r="H795" s="72" t="e">
        <f>NA()</f>
        <v>#N/A</v>
      </c>
      <c r="I795" s="146" t="e">
        <f>NA()</f>
        <v>#N/A</v>
      </c>
      <c r="J795" s="147"/>
      <c r="L795" s="147"/>
    </row>
    <row r="796" spans="1:16">
      <c r="A796" s="98"/>
      <c r="B796" s="175"/>
      <c r="I796" s="148">
        <v>2127.9499999999998</v>
      </c>
      <c r="L796" s="31" t="e">
        <f>J794+I795</f>
        <v>#N/A</v>
      </c>
    </row>
    <row r="797" spans="1:16">
      <c r="A797" s="29"/>
      <c r="B797" s="175"/>
      <c r="D797" s="29"/>
      <c r="E797" s="29"/>
    </row>
    <row r="798" spans="1:16">
      <c r="A798" s="29"/>
      <c r="B798" s="175"/>
      <c r="D798" s="29"/>
      <c r="E798" s="29"/>
    </row>
    <row r="799" spans="1:16">
      <c r="A799" s="29"/>
      <c r="B799" s="175"/>
      <c r="D799" s="29"/>
      <c r="E799" s="29"/>
    </row>
    <row r="800" spans="1:16">
      <c r="A800" s="29"/>
      <c r="B800" s="175"/>
      <c r="D800" s="29"/>
      <c r="E800" s="29"/>
    </row>
    <row r="801" spans="1:5">
      <c r="A801" s="29"/>
      <c r="B801" s="175"/>
      <c r="D801" s="29"/>
      <c r="E801" s="29"/>
    </row>
    <row r="802" spans="1:5">
      <c r="A802" s="29"/>
      <c r="B802" s="175"/>
      <c r="D802" s="29"/>
      <c r="E802" s="29"/>
    </row>
    <row r="803" spans="1:5">
      <c r="A803" s="29"/>
      <c r="B803" s="175"/>
      <c r="D803" s="29"/>
      <c r="E803" s="29"/>
    </row>
    <row r="804" spans="1:5">
      <c r="A804" s="29"/>
      <c r="B804" s="175"/>
      <c r="D804" s="29"/>
      <c r="E804" s="29"/>
    </row>
    <row r="805" spans="1:5">
      <c r="A805" s="29"/>
      <c r="B805" s="175"/>
      <c r="D805" s="29"/>
      <c r="E805" s="29"/>
    </row>
    <row r="806" spans="1:5">
      <c r="A806" s="29"/>
      <c r="B806" s="175"/>
      <c r="D806" s="29"/>
      <c r="E806" s="29"/>
    </row>
    <row r="807" spans="1:5">
      <c r="A807" s="29"/>
      <c r="B807" s="175"/>
      <c r="D807" s="29"/>
      <c r="E807" s="29"/>
    </row>
    <row r="808" spans="1:5">
      <c r="A808" s="29"/>
      <c r="B808" s="175"/>
      <c r="D808" s="29"/>
      <c r="E808" s="29"/>
    </row>
    <row r="809" spans="1:5">
      <c r="A809" s="29"/>
      <c r="B809" s="175"/>
      <c r="D809" s="29"/>
      <c r="E809" s="29"/>
    </row>
    <row r="810" spans="1:5">
      <c r="A810" s="29"/>
      <c r="B810" s="175"/>
      <c r="D810" s="29"/>
      <c r="E810" s="29"/>
    </row>
    <row r="811" spans="1:5">
      <c r="A811" s="29"/>
      <c r="B811" s="175"/>
      <c r="D811" s="29"/>
      <c r="E811" s="29"/>
    </row>
    <row r="812" spans="1:5">
      <c r="A812" s="29"/>
      <c r="B812" s="175"/>
      <c r="D812" s="29"/>
      <c r="E812" s="29"/>
    </row>
    <row r="813" spans="1:5">
      <c r="A813" s="29"/>
      <c r="B813" s="175"/>
      <c r="D813" s="29"/>
      <c r="E813" s="29"/>
    </row>
    <row r="814" spans="1:5">
      <c r="A814" s="29"/>
      <c r="B814" s="175"/>
      <c r="D814" s="29"/>
      <c r="E814" s="29"/>
    </row>
    <row r="815" spans="1:5">
      <c r="A815" s="29"/>
      <c r="B815" s="175"/>
      <c r="D815" s="29"/>
      <c r="E815" s="29"/>
    </row>
    <row r="816" spans="1:5">
      <c r="A816" s="29"/>
      <c r="B816" s="175"/>
      <c r="D816" s="29"/>
      <c r="E816" s="29"/>
    </row>
    <row r="817" spans="1:5">
      <c r="A817" s="29"/>
      <c r="B817" s="175"/>
      <c r="D817" s="29"/>
      <c r="E817" s="29"/>
    </row>
    <row r="818" spans="1:5">
      <c r="A818" s="29"/>
      <c r="B818" s="175"/>
      <c r="D818" s="29"/>
      <c r="E818" s="29"/>
    </row>
    <row r="819" spans="1:5">
      <c r="A819" s="29"/>
      <c r="B819" s="175"/>
      <c r="D819" s="29"/>
      <c r="E819" s="29"/>
    </row>
    <row r="820" spans="1:5">
      <c r="A820" s="29"/>
      <c r="B820" s="175"/>
      <c r="D820" s="29"/>
      <c r="E820" s="29"/>
    </row>
    <row r="821" spans="1:5">
      <c r="A821" s="29"/>
      <c r="B821" s="175"/>
      <c r="D821" s="29"/>
      <c r="E821" s="29"/>
    </row>
    <row r="822" spans="1:5">
      <c r="A822" s="29"/>
      <c r="B822" s="175"/>
      <c r="D822" s="29"/>
      <c r="E822" s="29"/>
    </row>
    <row r="823" spans="1:5">
      <c r="A823" s="29"/>
      <c r="B823" s="175"/>
      <c r="D823" s="29"/>
      <c r="E823" s="29"/>
    </row>
    <row r="824" spans="1:5">
      <c r="A824" s="29"/>
      <c r="B824" s="175"/>
      <c r="D824" s="29"/>
      <c r="E824" s="29"/>
    </row>
    <row r="825" spans="1:5">
      <c r="A825" s="29"/>
      <c r="B825" s="175"/>
      <c r="D825" s="29"/>
      <c r="E825" s="29"/>
    </row>
    <row r="826" spans="1:5">
      <c r="A826" s="29"/>
      <c r="B826" s="175"/>
      <c r="D826" s="29"/>
      <c r="E826" s="29"/>
    </row>
    <row r="827" spans="1:5">
      <c r="A827" s="29"/>
      <c r="B827" s="175"/>
      <c r="D827" s="29"/>
      <c r="E827" s="29"/>
    </row>
    <row r="828" spans="1:5">
      <c r="A828" s="29"/>
      <c r="B828" s="175"/>
      <c r="D828" s="29"/>
      <c r="E828" s="29"/>
    </row>
    <row r="829" spans="1:5">
      <c r="A829" s="29"/>
      <c r="B829" s="175"/>
      <c r="D829" s="29"/>
      <c r="E829" s="29"/>
    </row>
    <row r="830" spans="1:5">
      <c r="A830" s="29"/>
      <c r="B830" s="175"/>
      <c r="D830" s="29"/>
      <c r="E830" s="29"/>
    </row>
    <row r="831" spans="1:5">
      <c r="A831" s="29"/>
      <c r="B831" s="175"/>
      <c r="D831" s="29"/>
      <c r="E831" s="29"/>
    </row>
    <row r="832" spans="1:5">
      <c r="A832" s="29"/>
      <c r="B832" s="175"/>
      <c r="D832" s="29"/>
      <c r="E832" s="29"/>
    </row>
    <row r="833" spans="1:5">
      <c r="A833" s="29"/>
      <c r="B833" s="175"/>
      <c r="D833" s="29"/>
      <c r="E833" s="29"/>
    </row>
    <row r="834" spans="1:5">
      <c r="A834" s="29"/>
      <c r="B834" s="175"/>
      <c r="D834" s="29"/>
      <c r="E834" s="29"/>
    </row>
    <row r="835" spans="1:5">
      <c r="A835" s="29"/>
      <c r="B835" s="175"/>
      <c r="D835" s="29"/>
      <c r="E835" s="29"/>
    </row>
    <row r="836" spans="1:5">
      <c r="A836" s="29"/>
      <c r="B836" s="175"/>
      <c r="D836" s="29"/>
      <c r="E836" s="29"/>
    </row>
    <row r="837" spans="1:5">
      <c r="A837" s="29"/>
      <c r="B837" s="175"/>
      <c r="D837" s="29"/>
      <c r="E837" s="29"/>
    </row>
    <row r="838" spans="1:5">
      <c r="A838" s="29"/>
      <c r="B838" s="175"/>
      <c r="D838" s="29"/>
      <c r="E838" s="29"/>
    </row>
    <row r="839" spans="1:5">
      <c r="A839" s="29"/>
      <c r="B839" s="175"/>
      <c r="D839" s="29"/>
      <c r="E839" s="29"/>
    </row>
    <row r="840" spans="1:5">
      <c r="A840" s="29"/>
      <c r="B840" s="175"/>
      <c r="D840" s="29"/>
      <c r="E840" s="29"/>
    </row>
    <row r="841" spans="1:5">
      <c r="A841" s="29"/>
      <c r="B841" s="175"/>
      <c r="D841" s="29"/>
      <c r="E841" s="29"/>
    </row>
    <row r="842" spans="1:5">
      <c r="A842" s="29"/>
      <c r="B842" s="175"/>
      <c r="D842" s="29"/>
      <c r="E842" s="29"/>
    </row>
    <row r="843" spans="1:5">
      <c r="A843" s="29"/>
      <c r="B843" s="175"/>
      <c r="D843" s="29"/>
      <c r="E843" s="29"/>
    </row>
    <row r="844" spans="1:5">
      <c r="A844" s="29"/>
      <c r="B844" s="175"/>
      <c r="D844" s="29"/>
      <c r="E844" s="29"/>
    </row>
    <row r="845" spans="1:5">
      <c r="A845" s="29"/>
      <c r="B845" s="175"/>
      <c r="D845" s="29"/>
      <c r="E845" s="29"/>
    </row>
    <row r="846" spans="1:5">
      <c r="A846" s="29"/>
      <c r="B846" s="175"/>
      <c r="D846" s="29"/>
      <c r="E846" s="29"/>
    </row>
    <row r="847" spans="1:5">
      <c r="A847" s="29"/>
      <c r="B847" s="175"/>
      <c r="D847" s="29"/>
      <c r="E847" s="29"/>
    </row>
    <row r="848" spans="1:5">
      <c r="A848" s="29"/>
      <c r="B848" s="175"/>
      <c r="D848" s="29"/>
      <c r="E848" s="29"/>
    </row>
    <row r="849" spans="1:5">
      <c r="A849" s="29"/>
      <c r="B849" s="175"/>
      <c r="D849" s="29"/>
      <c r="E849" s="29"/>
    </row>
    <row r="850" spans="1:5">
      <c r="A850" s="29"/>
      <c r="B850" s="175"/>
      <c r="D850" s="29"/>
      <c r="E850" s="29"/>
    </row>
    <row r="851" spans="1:5">
      <c r="A851" s="29"/>
      <c r="B851" s="175"/>
      <c r="D851" s="29"/>
      <c r="E851" s="29"/>
    </row>
    <row r="852" spans="1:5">
      <c r="A852" s="29"/>
      <c r="B852" s="175"/>
      <c r="D852" s="29"/>
      <c r="E852" s="29"/>
    </row>
    <row r="853" spans="1:5">
      <c r="A853" s="29"/>
      <c r="B853" s="175"/>
      <c r="D853" s="29"/>
      <c r="E853" s="29"/>
    </row>
    <row r="854" spans="1:5">
      <c r="A854" s="29"/>
      <c r="B854" s="175"/>
      <c r="D854" s="29"/>
      <c r="E854" s="29"/>
    </row>
    <row r="855" spans="1:5">
      <c r="A855" s="29"/>
      <c r="B855" s="175"/>
      <c r="D855" s="29"/>
      <c r="E855" s="29"/>
    </row>
    <row r="856" spans="1:5">
      <c r="A856" s="29"/>
      <c r="B856" s="175"/>
      <c r="D856" s="29"/>
      <c r="E856" s="29"/>
    </row>
    <row r="857" spans="1:5">
      <c r="A857" s="29"/>
      <c r="B857" s="175"/>
      <c r="D857" s="29"/>
      <c r="E857" s="29"/>
    </row>
    <row r="858" spans="1:5">
      <c r="A858" s="29"/>
      <c r="B858" s="175"/>
      <c r="D858" s="29"/>
      <c r="E858" s="29"/>
    </row>
    <row r="859" spans="1:5">
      <c r="A859" s="29"/>
      <c r="B859" s="175"/>
      <c r="D859" s="29"/>
      <c r="E859" s="29"/>
    </row>
    <row r="860" spans="1:5">
      <c r="A860" s="29"/>
      <c r="B860" s="175"/>
      <c r="D860" s="29"/>
      <c r="E860" s="29"/>
    </row>
    <row r="861" spans="1:5">
      <c r="A861" s="29"/>
      <c r="B861" s="175"/>
      <c r="D861" s="29"/>
      <c r="E861" s="29"/>
    </row>
    <row r="862" spans="1:5">
      <c r="A862" s="29"/>
      <c r="B862" s="175"/>
      <c r="D862" s="29"/>
      <c r="E862" s="29"/>
    </row>
    <row r="863" spans="1:5">
      <c r="A863" s="29"/>
      <c r="B863" s="175"/>
      <c r="D863" s="29"/>
      <c r="E863" s="29"/>
    </row>
    <row r="864" spans="1:5">
      <c r="A864" s="29"/>
      <c r="B864" s="175"/>
      <c r="D864" s="29"/>
      <c r="E864" s="29"/>
    </row>
    <row r="865" spans="1:5">
      <c r="A865" s="29"/>
      <c r="B865" s="175"/>
      <c r="D865" s="29"/>
      <c r="E865" s="29"/>
    </row>
    <row r="866" spans="1:5">
      <c r="A866" s="29"/>
      <c r="B866" s="175"/>
      <c r="D866" s="29"/>
      <c r="E866" s="29"/>
    </row>
    <row r="867" spans="1:5">
      <c r="A867" s="29"/>
      <c r="B867" s="175"/>
      <c r="D867" s="29"/>
      <c r="E867" s="29"/>
    </row>
    <row r="868" spans="1:5">
      <c r="A868" s="29"/>
      <c r="B868" s="175"/>
      <c r="D868" s="29"/>
      <c r="E868" s="29"/>
    </row>
    <row r="869" spans="1:5">
      <c r="A869" s="29"/>
      <c r="B869" s="175"/>
      <c r="D869" s="29"/>
      <c r="E869" s="29"/>
    </row>
    <row r="870" spans="1:5">
      <c r="A870" s="29"/>
      <c r="B870" s="175"/>
      <c r="D870" s="29"/>
      <c r="E870" s="29"/>
    </row>
    <row r="871" spans="1:5">
      <c r="A871" s="29"/>
      <c r="B871" s="175"/>
      <c r="D871" s="29"/>
      <c r="E871" s="29"/>
    </row>
    <row r="872" spans="1:5">
      <c r="A872" s="29"/>
      <c r="B872" s="175"/>
      <c r="D872" s="29"/>
      <c r="E872" s="29"/>
    </row>
    <row r="873" spans="1:5">
      <c r="A873" s="29"/>
      <c r="B873" s="175"/>
      <c r="D873" s="29"/>
      <c r="E873" s="29"/>
    </row>
    <row r="874" spans="1:5">
      <c r="A874" s="29"/>
      <c r="B874" s="175"/>
      <c r="D874" s="29"/>
      <c r="E874" s="29"/>
    </row>
    <row r="875" spans="1:5">
      <c r="A875" s="29"/>
      <c r="B875" s="175"/>
      <c r="D875" s="29"/>
      <c r="E875" s="29"/>
    </row>
    <row r="876" spans="1:5">
      <c r="A876" s="29"/>
      <c r="B876" s="175"/>
      <c r="D876" s="29"/>
      <c r="E876" s="29"/>
    </row>
    <row r="877" spans="1:5">
      <c r="A877" s="29"/>
      <c r="B877" s="175"/>
      <c r="D877" s="29"/>
      <c r="E877" s="29"/>
    </row>
    <row r="878" spans="1:5">
      <c r="A878" s="29"/>
      <c r="B878" s="175"/>
      <c r="D878" s="29"/>
      <c r="E878" s="29"/>
    </row>
    <row r="879" spans="1:5">
      <c r="A879" s="29"/>
      <c r="B879" s="196"/>
      <c r="D879" s="29"/>
      <c r="E879" s="29"/>
    </row>
    <row r="880" spans="1:5">
      <c r="A880" s="29"/>
      <c r="D880" s="29"/>
      <c r="E880" s="29"/>
    </row>
    <row r="881" spans="1:5">
      <c r="A881" s="29"/>
      <c r="D881" s="29"/>
      <c r="E881" s="29"/>
    </row>
    <row r="882" spans="1:5">
      <c r="A882" s="29"/>
      <c r="D882" s="29"/>
      <c r="E882" s="29"/>
    </row>
    <row r="883" spans="1:5">
      <c r="A883" s="29"/>
      <c r="D883" s="29"/>
      <c r="E883" s="29"/>
    </row>
    <row r="884" spans="1:5">
      <c r="A884" s="29"/>
      <c r="D884" s="29"/>
      <c r="E884" s="29"/>
    </row>
    <row r="885" spans="1:5">
      <c r="A885" s="29"/>
      <c r="D885" s="29"/>
      <c r="E885" s="29"/>
    </row>
    <row r="886" spans="1:5">
      <c r="A886" s="29"/>
      <c r="D886" s="29"/>
      <c r="E886" s="29"/>
    </row>
    <row r="887" spans="1:5">
      <c r="A887" s="29"/>
      <c r="D887" s="29"/>
      <c r="E887" s="29"/>
    </row>
    <row r="888" spans="1:5">
      <c r="A888" s="29"/>
      <c r="D888" s="29"/>
      <c r="E888" s="29"/>
    </row>
    <row r="889" spans="1:5">
      <c r="A889" s="29"/>
      <c r="D889" s="29"/>
      <c r="E889" s="29"/>
    </row>
    <row r="890" spans="1:5">
      <c r="A890" s="29"/>
      <c r="D890" s="29"/>
      <c r="E890" s="29"/>
    </row>
    <row r="891" spans="1:5">
      <c r="A891" s="29"/>
      <c r="D891" s="29"/>
      <c r="E891" s="29"/>
    </row>
    <row r="892" spans="1:5">
      <c r="A892" s="29"/>
      <c r="D892" s="29"/>
      <c r="E892" s="29"/>
    </row>
    <row r="893" spans="1:5">
      <c r="A893" s="29"/>
      <c r="D893" s="29"/>
      <c r="E893" s="29"/>
    </row>
    <row r="894" spans="1:5">
      <c r="A894" s="29"/>
      <c r="D894" s="29"/>
      <c r="E894" s="29"/>
    </row>
    <row r="895" spans="1:5">
      <c r="A895" s="29"/>
      <c r="D895" s="29"/>
      <c r="E895" s="29"/>
    </row>
    <row r="896" spans="1:5">
      <c r="A896" s="29"/>
      <c r="D896" s="29"/>
      <c r="E896" s="29"/>
    </row>
    <row r="897" spans="1:5">
      <c r="A897" s="29"/>
      <c r="D897" s="29"/>
      <c r="E897" s="29"/>
    </row>
    <row r="898" spans="1:5">
      <c r="A898" s="29"/>
      <c r="D898" s="29"/>
      <c r="E898" s="29"/>
    </row>
    <row r="899" spans="1:5">
      <c r="A899" s="29"/>
      <c r="D899" s="29"/>
      <c r="E899" s="29"/>
    </row>
    <row r="900" spans="1:5">
      <c r="A900" s="29"/>
      <c r="D900" s="29"/>
      <c r="E900" s="29"/>
    </row>
    <row r="901" spans="1:5">
      <c r="A901" s="29"/>
      <c r="D901" s="29"/>
      <c r="E901" s="29"/>
    </row>
    <row r="902" spans="1:5">
      <c r="A902" s="29"/>
      <c r="D902" s="29"/>
      <c r="E902" s="29"/>
    </row>
    <row r="903" spans="1:5">
      <c r="A903" s="29"/>
      <c r="D903" s="29"/>
      <c r="E903" s="29"/>
    </row>
    <row r="904" spans="1:5">
      <c r="A904" s="29"/>
      <c r="D904" s="29"/>
      <c r="E904" s="29"/>
    </row>
    <row r="905" spans="1:5">
      <c r="A905" s="29"/>
      <c r="D905" s="29"/>
      <c r="E905" s="29"/>
    </row>
    <row r="906" spans="1:5">
      <c r="A906" s="29"/>
      <c r="D906" s="29"/>
      <c r="E906" s="29"/>
    </row>
    <row r="907" spans="1:5">
      <c r="A907" s="29"/>
      <c r="D907" s="29"/>
      <c r="E907" s="29"/>
    </row>
    <row r="908" spans="1:5">
      <c r="A908" s="29"/>
      <c r="D908" s="29"/>
      <c r="E908" s="29"/>
    </row>
    <row r="909" spans="1:5">
      <c r="A909" s="29"/>
      <c r="D909" s="29"/>
      <c r="E909" s="29"/>
    </row>
    <row r="910" spans="1:5">
      <c r="A910" s="29"/>
      <c r="D910" s="29"/>
      <c r="E910" s="29"/>
    </row>
    <row r="911" spans="1:5">
      <c r="A911" s="29"/>
      <c r="D911" s="29"/>
      <c r="E911" s="29"/>
    </row>
    <row r="912" spans="1:5">
      <c r="A912" s="29"/>
      <c r="D912" s="29"/>
      <c r="E912" s="29"/>
    </row>
    <row r="913" spans="1:5">
      <c r="A913" s="29"/>
      <c r="D913" s="29"/>
      <c r="E913" s="29"/>
    </row>
    <row r="914" spans="1:5">
      <c r="A914" s="29"/>
      <c r="D914" s="29"/>
      <c r="E914" s="29"/>
    </row>
    <row r="915" spans="1:5">
      <c r="A915" s="29"/>
      <c r="D915" s="29"/>
      <c r="E915" s="29"/>
    </row>
    <row r="916" spans="1:5">
      <c r="A916" s="29"/>
      <c r="D916" s="29"/>
      <c r="E916" s="29"/>
    </row>
    <row r="917" spans="1:5">
      <c r="A917" s="29"/>
      <c r="D917" s="29"/>
      <c r="E917" s="29"/>
    </row>
    <row r="918" spans="1:5">
      <c r="A918" s="29"/>
      <c r="D918" s="29"/>
      <c r="E918" s="29"/>
    </row>
    <row r="919" spans="1:5">
      <c r="A919" s="29"/>
      <c r="D919" s="29"/>
      <c r="E919" s="29"/>
    </row>
    <row r="920" spans="1:5">
      <c r="A920" s="121"/>
      <c r="C920" s="96"/>
      <c r="D920" s="71"/>
      <c r="E920" s="150"/>
    </row>
  </sheetData>
  <sheetProtection selectLockedCells="1" selectUnlockedCells="1"/>
  <mergeCells count="19">
    <mergeCell ref="C65:G65"/>
    <mergeCell ref="K65:P65"/>
    <mergeCell ref="I67:J67"/>
    <mergeCell ref="F10:K10"/>
    <mergeCell ref="L10:P10"/>
    <mergeCell ref="C58:K58"/>
    <mergeCell ref="C59:K59"/>
    <mergeCell ref="A64:B64"/>
    <mergeCell ref="I64:J64"/>
    <mergeCell ref="A1:P1"/>
    <mergeCell ref="A2:P2"/>
    <mergeCell ref="M8:N8"/>
    <mergeCell ref="O8:P8"/>
    <mergeCell ref="G9:H9"/>
    <mergeCell ref="A10:A11"/>
    <mergeCell ref="B10:B11"/>
    <mergeCell ref="C10:C11"/>
    <mergeCell ref="D10:D11"/>
    <mergeCell ref="E10:E11"/>
  </mergeCells>
  <printOptions horizontalCentered="1"/>
  <pageMargins left="0.39370078740157483" right="0.39370078740157483" top="1.1811023622047245" bottom="0.70866141732283472" header="0.51181102362204722" footer="0.31496062992125984"/>
  <pageSetup paperSize="9" scale="68" fitToHeight="5" orientation="landscape" useFirstPageNumber="1" horizontalDpi="300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6</vt:i4>
      </vt:variant>
      <vt:variant>
        <vt:lpstr>Diapazoni ar nosaukumiem</vt:lpstr>
      </vt:variant>
      <vt:variant>
        <vt:i4>10</vt:i4>
      </vt:variant>
    </vt:vector>
  </HeadingPairs>
  <TitlesOfParts>
    <vt:vector size="16" baseType="lpstr">
      <vt:lpstr>BKT_1</vt:lpstr>
      <vt:lpstr>KA_1</vt:lpstr>
      <vt:lpstr>1-1_1</vt:lpstr>
      <vt:lpstr>1-2_1</vt:lpstr>
      <vt:lpstr>1-3_1</vt:lpstr>
      <vt:lpstr>1-4_1</vt:lpstr>
      <vt:lpstr>'1-1_1'!Drukas_apgabals</vt:lpstr>
      <vt:lpstr>'1-2_1'!Drukas_apgabals</vt:lpstr>
      <vt:lpstr>'1-3_1'!Drukas_apgabals</vt:lpstr>
      <vt:lpstr>'1-4_1'!Drukas_apgabals</vt:lpstr>
      <vt:lpstr>BKT_1!Drukas_apgabals</vt:lpstr>
      <vt:lpstr>KA_1!Drukas_apgabals</vt:lpstr>
      <vt:lpstr>'1-1_1'!Drukāt_virsrakstus</vt:lpstr>
      <vt:lpstr>'1-2_1'!Drukāt_virsrakstus</vt:lpstr>
      <vt:lpstr>'1-3_1'!Drukāt_virsrakstus</vt:lpstr>
      <vt:lpstr>'1-4_1'!Drukāt_virsrakstus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Dzintars Bernhards</dc:creator>
  <cp:lastModifiedBy>Intis Svirskis</cp:lastModifiedBy>
  <cp:lastPrinted>2016-02-27T10:38:15Z</cp:lastPrinted>
  <dcterms:created xsi:type="dcterms:W3CDTF">2015-03-18T10:28:37Z</dcterms:created>
  <dcterms:modified xsi:type="dcterms:W3CDTF">2016-03-04T08:08:42Z</dcterms:modified>
</cp:coreProperties>
</file>